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7485" windowHeight="4140"/>
  </bookViews>
  <sheets>
    <sheet name="Assumptions" sheetId="21" r:id="rId1"/>
    <sheet name="3 Year Projection" sheetId="1" r:id="rId2"/>
    <sheet name="Tuition Summary" sheetId="20" r:id="rId3"/>
    <sheet name="Preschool" sheetId="15" r:id="rId4"/>
    <sheet name="Enrichment" sheetId="4" r:id="rId5"/>
    <sheet name="AOK" sheetId="5" r:id="rId6"/>
    <sheet name="Tuition K-8" sheetId="19" r:id="rId7"/>
    <sheet name="K-8 Tuition Rates" sheetId="6" r:id="rId8"/>
  </sheets>
  <definedNames>
    <definedName name="_xlnm.Print_Area" localSheetId="1">'3 Year Projection'!$A$1:$F$32</definedName>
  </definedNames>
  <calcPr calcId="125725"/>
</workbook>
</file>

<file path=xl/calcChain.xml><?xml version="1.0" encoding="utf-8"?>
<calcChain xmlns="http://schemas.openxmlformats.org/spreadsheetml/2006/main">
  <c r="F8" i="1"/>
  <c r="E8"/>
  <c r="D8"/>
  <c r="F18"/>
  <c r="E18"/>
  <c r="D18"/>
  <c r="F21"/>
  <c r="E21"/>
  <c r="D21"/>
  <c r="F20"/>
  <c r="E20"/>
  <c r="D20"/>
  <c r="F19"/>
  <c r="E19"/>
  <c r="D19"/>
  <c r="D19" i="20"/>
  <c r="E19" s="1"/>
  <c r="C19"/>
  <c r="D16"/>
  <c r="E16" s="1"/>
  <c r="C16"/>
  <c r="F17" i="1"/>
  <c r="E17"/>
  <c r="D17"/>
  <c r="F16"/>
  <c r="E16"/>
  <c r="D16"/>
  <c r="C20"/>
  <c r="C17"/>
  <c r="B28" i="20"/>
  <c r="B26"/>
  <c r="B24"/>
  <c r="B11"/>
  <c r="C16" i="1"/>
  <c r="C8" i="19"/>
  <c r="C7"/>
  <c r="C6"/>
  <c r="B9"/>
  <c r="B8"/>
  <c r="B7"/>
  <c r="E8"/>
  <c r="G8" s="1"/>
  <c r="E7"/>
  <c r="G7" s="1"/>
  <c r="E6"/>
  <c r="G6" s="1"/>
  <c r="F10" i="6"/>
  <c r="F9"/>
  <c r="F8"/>
  <c r="F7"/>
  <c r="E10"/>
  <c r="E9"/>
  <c r="E8"/>
  <c r="E7"/>
  <c r="D10"/>
  <c r="D9"/>
  <c r="D8"/>
  <c r="D7"/>
  <c r="D7" i="5"/>
  <c r="F11" i="15"/>
  <c r="F10"/>
  <c r="F9"/>
  <c r="E11"/>
  <c r="E10"/>
  <c r="E9"/>
  <c r="D10"/>
  <c r="D11"/>
  <c r="D9"/>
  <c r="E8"/>
  <c r="F8" s="1"/>
  <c r="D8"/>
  <c r="H20"/>
  <c r="F20"/>
  <c r="D20"/>
  <c r="H19"/>
  <c r="F19"/>
  <c r="D19"/>
  <c r="H18"/>
  <c r="F18"/>
  <c r="D18"/>
  <c r="C23" i="20"/>
  <c r="D23" s="1"/>
  <c r="E23" s="1"/>
  <c r="E28" i="15"/>
  <c r="E27"/>
  <c r="C25"/>
  <c r="C18" i="1"/>
  <c r="C10"/>
  <c r="C9"/>
  <c r="C12" s="1"/>
  <c r="F27" l="1"/>
  <c r="D27"/>
  <c r="E27"/>
  <c r="C27"/>
  <c r="E16" i="4" l="1"/>
  <c r="E18" s="1"/>
  <c r="D16"/>
  <c r="D18" s="1"/>
  <c r="C16"/>
  <c r="C18" s="1"/>
  <c r="C9"/>
  <c r="D9" s="1"/>
  <c r="E9" s="1"/>
  <c r="F7" i="5"/>
  <c r="E7"/>
  <c r="F9"/>
  <c r="E15" i="20" s="1"/>
  <c r="E24" s="1"/>
  <c r="E9" i="5"/>
  <c r="D15" i="20" s="1"/>
  <c r="D24" s="1"/>
  <c r="D9" i="5"/>
  <c r="C15" i="20" s="1"/>
  <c r="C24" s="1"/>
  <c r="D8" i="19"/>
  <c r="D7"/>
  <c r="D6"/>
  <c r="D9" s="1"/>
  <c r="D10" s="1"/>
  <c r="G9"/>
  <c r="H23" s="1"/>
  <c r="E6" i="20" s="1"/>
  <c r="E9" i="19"/>
  <c r="F23" s="1"/>
  <c r="D6" i="20" s="1"/>
  <c r="C9" i="19"/>
  <c r="D23" s="1"/>
  <c r="C6" i="20" s="1"/>
  <c r="I25" i="15"/>
  <c r="G25"/>
  <c r="E25"/>
  <c r="F6" i="19"/>
  <c r="H6"/>
  <c r="F7"/>
  <c r="H7"/>
  <c r="F8"/>
  <c r="H8"/>
  <c r="E10" i="1" l="1"/>
  <c r="F10"/>
  <c r="D10"/>
  <c r="H9" i="19"/>
  <c r="F9"/>
  <c r="F10" s="1"/>
  <c r="F11" s="1"/>
  <c r="C20" i="4"/>
  <c r="C8" i="20" s="1"/>
  <c r="D20" i="4"/>
  <c r="D8" i="20" s="1"/>
  <c r="E20" i="4"/>
  <c r="E8" i="20" s="1"/>
  <c r="H21" i="19"/>
  <c r="E5" i="20" s="1"/>
  <c r="F21" i="19"/>
  <c r="D5" i="20" s="1"/>
  <c r="D21" i="19"/>
  <c r="C5" i="20" s="1"/>
  <c r="H10" i="19"/>
  <c r="H11" s="1"/>
  <c r="D11"/>
  <c r="B6" i="15"/>
  <c r="B16" i="4"/>
  <c r="B18" s="1"/>
  <c r="B20" s="1"/>
  <c r="B11" i="15"/>
  <c r="B10"/>
  <c r="B9"/>
  <c r="D14" i="19" l="1"/>
  <c r="D13"/>
  <c r="H14"/>
  <c r="H13"/>
  <c r="F14"/>
  <c r="F13"/>
  <c r="D15" l="1"/>
  <c r="D17" s="1"/>
  <c r="C9" i="20" s="1"/>
  <c r="F15" i="19"/>
  <c r="F17" s="1"/>
  <c r="D9" i="20" s="1"/>
  <c r="H15" i="19"/>
  <c r="H17" s="1"/>
  <c r="E9" i="20" s="1"/>
  <c r="E20" i="15"/>
  <c r="E19"/>
  <c r="G19" s="1"/>
  <c r="I19" s="1"/>
  <c r="E18"/>
  <c r="G18" s="1"/>
  <c r="I18" s="1"/>
  <c r="G20" l="1"/>
  <c r="E29"/>
  <c r="I28"/>
  <c r="G28"/>
  <c r="I27"/>
  <c r="G27"/>
  <c r="C27"/>
  <c r="C28"/>
  <c r="C29"/>
  <c r="C31" s="1"/>
  <c r="C34" l="1"/>
  <c r="C33"/>
  <c r="C36" s="1"/>
  <c r="I20"/>
  <c r="I29" s="1"/>
  <c r="G29"/>
  <c r="G31"/>
  <c r="I31"/>
  <c r="G34"/>
  <c r="G33"/>
  <c r="G36" s="1"/>
  <c r="D7" i="20" s="1"/>
  <c r="D11" s="1"/>
  <c r="D26" s="1"/>
  <c r="I34" i="15"/>
  <c r="I33"/>
  <c r="I36" s="1"/>
  <c r="E7" i="20" s="1"/>
  <c r="E11" s="1"/>
  <c r="E26" s="1"/>
  <c r="E31" i="15"/>
  <c r="F9" i="1" l="1"/>
  <c r="F12" s="1"/>
  <c r="E9"/>
  <c r="E12" s="1"/>
  <c r="E34" i="15"/>
  <c r="E33"/>
  <c r="E36"/>
  <c r="C7" i="20" s="1"/>
  <c r="C11" s="1"/>
  <c r="C26" s="1"/>
  <c r="D9" i="1" l="1"/>
  <c r="D12" s="1"/>
  <c r="D31" s="1"/>
  <c r="H8" i="6" l="1"/>
  <c r="H9"/>
  <c r="H10"/>
  <c r="C9" i="5" l="1"/>
  <c r="E31" i="1" l="1"/>
  <c r="F31" l="1"/>
</calcChain>
</file>

<file path=xl/comments1.xml><?xml version="1.0" encoding="utf-8"?>
<comments xmlns="http://schemas.openxmlformats.org/spreadsheetml/2006/main">
  <authors>
    <author>The Book Keeper</author>
  </authors>
  <commentList>
    <comment ref="B17" authorId="0">
      <text>
        <r>
          <rPr>
            <b/>
            <sz val="8"/>
            <color indexed="81"/>
            <rFont val="Tahoma"/>
            <family val="2"/>
          </rPr>
          <t>The Book Keeper
Per spreadsheet provided by Sandy T. as of 10/12/10</t>
        </r>
      </text>
    </comment>
    <comment ref="C17" authorId="0">
      <text>
        <r>
          <rPr>
            <b/>
            <sz val="8"/>
            <color indexed="81"/>
            <rFont val="Tahoma"/>
            <family val="2"/>
          </rPr>
          <t>The Book Keeper
Per spreadsheet provided by Sandy T. as of 10/12/10</t>
        </r>
      </text>
    </comment>
    <comment ref="D17" authorId="0">
      <text>
        <r>
          <rPr>
            <b/>
            <sz val="8"/>
            <color indexed="81"/>
            <rFont val="Tahoma"/>
            <family val="2"/>
          </rPr>
          <t>The Book Keeper
Per spreadsheet provided by Sandy T. as of 10/12/10</t>
        </r>
      </text>
    </comment>
    <comment ref="E17" authorId="0">
      <text>
        <r>
          <rPr>
            <b/>
            <sz val="8"/>
            <color indexed="81"/>
            <rFont val="Tahoma"/>
            <family val="2"/>
          </rPr>
          <t>The Book Keeper
Per spreadsheet provided by Sandy T. as of 10/12/10</t>
        </r>
      </text>
    </comment>
  </commentList>
</comments>
</file>

<file path=xl/sharedStrings.xml><?xml version="1.0" encoding="utf-8"?>
<sst xmlns="http://schemas.openxmlformats.org/spreadsheetml/2006/main" count="184" uniqueCount="119">
  <si>
    <t>11-12</t>
  </si>
  <si>
    <t>Budget</t>
  </si>
  <si>
    <t>Revenue</t>
  </si>
  <si>
    <t>Assessments</t>
  </si>
  <si>
    <t>Plant Sales</t>
  </si>
  <si>
    <t>Enrollment Fees</t>
  </si>
  <si>
    <t>Previous Tuition</t>
  </si>
  <si>
    <t>Hot Lunch Receipts</t>
  </si>
  <si>
    <t>Annual Fund</t>
  </si>
  <si>
    <t>Music Lessons</t>
  </si>
  <si>
    <t>Gym Rental</t>
  </si>
  <si>
    <t>Athletic Income</t>
  </si>
  <si>
    <t>Total Revenue</t>
  </si>
  <si>
    <t>Expenses</t>
  </si>
  <si>
    <t>Plant Operations</t>
  </si>
  <si>
    <t>Capital Expense</t>
  </si>
  <si>
    <t>Debt Service</t>
  </si>
  <si>
    <t>Total Expense</t>
  </si>
  <si>
    <t>Income - Expense</t>
  </si>
  <si>
    <t xml:space="preserve">Total Students </t>
  </si>
  <si>
    <t>% of 3 year olds</t>
  </si>
  <si>
    <t>% of 4 year olds</t>
  </si>
  <si>
    <t>% of FF</t>
  </si>
  <si>
    <t>Tuition Rates:</t>
  </si>
  <si>
    <t>Association</t>
  </si>
  <si>
    <t>Community</t>
  </si>
  <si>
    <t>Preschool - 3 yr olds</t>
  </si>
  <si>
    <t>Preschool -4 yr olds</t>
  </si>
  <si>
    <t>Fantastic Fives</t>
  </si>
  <si>
    <t>Tuition</t>
  </si>
  <si>
    <t>3 year olds</t>
  </si>
  <si>
    <t>4 year olds</t>
  </si>
  <si>
    <t>Hourly Rate</t>
  </si>
  <si>
    <t>Estimated Paid Hours</t>
  </si>
  <si>
    <t xml:space="preserve">Daily </t>
  </si>
  <si>
    <t># spots</t>
  </si>
  <si>
    <t>Rate</t>
  </si>
  <si>
    <t>Central</t>
  </si>
  <si>
    <t>LOL</t>
  </si>
  <si>
    <t>1/2 Day Kindergarten</t>
  </si>
  <si>
    <t>All Day Kindergarten</t>
  </si>
  <si>
    <t>Grades 1-5</t>
  </si>
  <si>
    <t>Grades 6-8</t>
  </si>
  <si>
    <t>Zion</t>
  </si>
  <si>
    <t>Enrollment Fees (per child)</t>
  </si>
  <si>
    <t>Building Fee (per family)</t>
  </si>
  <si>
    <t>Enrollment Fee</t>
  </si>
  <si>
    <t>Enrollment fees</t>
  </si>
  <si>
    <t>Unpaid (bad debt) 1%</t>
  </si>
  <si>
    <t>Bad Debt</t>
  </si>
  <si>
    <t>Sioux Falls Lutheran School</t>
  </si>
  <si>
    <t>K-8</t>
  </si>
  <si>
    <t>Preschool</t>
  </si>
  <si>
    <t>Enrichment</t>
  </si>
  <si>
    <t>AOK</t>
  </si>
  <si>
    <t>% of Assocation 11/12</t>
  </si>
  <si>
    <t>11/12</t>
  </si>
  <si>
    <t>12/13</t>
  </si>
  <si>
    <t>13/14</t>
  </si>
  <si>
    <t>14/15</t>
  </si>
  <si>
    <t>Add'l Cummunity Tuition</t>
  </si>
  <si>
    <t>Employee/Sibling Discount</t>
  </si>
  <si>
    <t xml:space="preserve">     Total</t>
  </si>
  <si>
    <t>Total Tuition K-8</t>
  </si>
  <si>
    <t>Early Pay Discount (1/3)</t>
  </si>
  <si>
    <t>Projected Tutition for 3 Year Financial Plan</t>
  </si>
  <si>
    <t>AOK Revenue  for 3 Year Financial Plan</t>
  </si>
  <si>
    <t>Enrichment Revenue for 3 Year Financial Plan</t>
  </si>
  <si>
    <t xml:space="preserve">Annual Increase </t>
  </si>
  <si>
    <t>12-13</t>
  </si>
  <si>
    <t>13-14</t>
  </si>
  <si>
    <t>14-15</t>
  </si>
  <si>
    <t>Projection</t>
  </si>
  <si>
    <t>3 Year Projection</t>
  </si>
  <si>
    <t>Other</t>
  </si>
  <si>
    <t>Tuition/Fees</t>
  </si>
  <si>
    <t>Instructor/Aide Salaries</t>
  </si>
  <si>
    <t>Employee Tax/Benefits</t>
  </si>
  <si>
    <t>Teaching Supplies</t>
  </si>
  <si>
    <t>Annuity Payment</t>
  </si>
  <si>
    <t>Other Salaries</t>
  </si>
  <si>
    <t xml:space="preserve">Administration </t>
  </si>
  <si>
    <t>Amortization Schedule</t>
  </si>
  <si>
    <t>Building Fees</t>
  </si>
  <si>
    <t>Preschool Revenue for 3 Year Financial Plan</t>
  </si>
  <si>
    <t>Increase Each Year</t>
  </si>
  <si>
    <t>Net Revenue</t>
  </si>
  <si>
    <t>Early Pay Discount 2% (30%)</t>
  </si>
  <si>
    <t>Total Tuition/Fees</t>
  </si>
  <si>
    <t>Other Income</t>
  </si>
  <si>
    <t>Hearts on Fire</t>
  </si>
  <si>
    <t>Scrip Income</t>
  </si>
  <si>
    <t>Assessment Increase</t>
  </si>
  <si>
    <t>2% per year</t>
  </si>
  <si>
    <t>Tuition Increase</t>
  </si>
  <si>
    <t>Yr 1</t>
  </si>
  <si>
    <t>Yr 2</t>
  </si>
  <si>
    <t>Yr3</t>
  </si>
  <si>
    <t>Association Rates Only</t>
  </si>
  <si>
    <t>Enrollment</t>
  </si>
  <si>
    <t xml:space="preserve">      Preschool</t>
  </si>
  <si>
    <t xml:space="preserve">      K-8</t>
  </si>
  <si>
    <t>Revenue:</t>
  </si>
  <si>
    <t>Expense:</t>
  </si>
  <si>
    <t>Salaries</t>
  </si>
  <si>
    <t>Health Care Costs</t>
  </si>
  <si>
    <t>Assumptions Used in Projections</t>
  </si>
  <si>
    <t>Year 1</t>
  </si>
  <si>
    <t>Year 2</t>
  </si>
  <si>
    <t>Year 3</t>
  </si>
  <si>
    <t>** Association Only</t>
  </si>
  <si>
    <t>Increase</t>
  </si>
  <si>
    <t xml:space="preserve">Increase:  </t>
  </si>
  <si>
    <t>Enrollment Increase of 3% per year</t>
  </si>
  <si>
    <t>Current</t>
  </si>
  <si>
    <t>11/12 Budget</t>
  </si>
  <si>
    <t>Total Income</t>
  </si>
  <si>
    <t>Per Budget</t>
  </si>
  <si>
    <t>Increase by enrollment % increase</t>
  </si>
</sst>
</file>

<file path=xl/styles.xml><?xml version="1.0" encoding="utf-8"?>
<styleSheet xmlns="http://schemas.openxmlformats.org/spreadsheetml/2006/main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#,##0;[Red]#,##0"/>
    <numFmt numFmtId="166" formatCode="0.0%"/>
    <numFmt numFmtId="167" formatCode="&quot;$&quot;#,##0.00"/>
  </numFmts>
  <fonts count="31">
    <font>
      <sz val="10"/>
      <color indexed="8"/>
      <name val="MS Sans Serif"/>
    </font>
    <font>
      <b/>
      <sz val="15.95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.05"/>
      <color indexed="8"/>
      <name val="Times New Roman"/>
      <family val="1"/>
    </font>
    <font>
      <sz val="9.85"/>
      <color indexed="8"/>
      <name val="Times New Roman"/>
      <family val="1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9.85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MS Sans Serif"/>
      <family val="2"/>
    </font>
    <font>
      <b/>
      <sz val="11"/>
      <color indexed="8"/>
      <name val="Times New Roman"/>
      <family val="1"/>
    </font>
    <font>
      <sz val="9.85"/>
      <color indexed="8"/>
      <name val="Times New Roman"/>
      <family val="1"/>
    </font>
    <font>
      <b/>
      <sz val="9.85"/>
      <color indexed="8"/>
      <name val="Times New Roman"/>
      <family val="1"/>
    </font>
    <font>
      <b/>
      <i/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8"/>
      <color indexed="81"/>
      <name val="Tahoma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MS Sans Serif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10"/>
      <name val="Arial"/>
    </font>
    <font>
      <sz val="9"/>
      <name val="Geneva"/>
    </font>
    <font>
      <b/>
      <sz val="12"/>
      <color indexed="8"/>
      <name val="MS Sans Serif"/>
      <family val="2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0" fontId="10" fillId="0" borderId="0" applyNumberFormat="0" applyFont="0" applyFill="0" applyBorder="0" applyProtection="0">
      <alignment vertical="center"/>
    </xf>
    <xf numFmtId="3" fontId="3" fillId="0" borderId="0" applyFill="0" applyBorder="0" applyProtection="0">
      <alignment horizontal="left" vertical="center"/>
    </xf>
    <xf numFmtId="0" fontId="15" fillId="0" borderId="0"/>
    <xf numFmtId="0" fontId="25" fillId="0" borderId="0"/>
    <xf numFmtId="0" fontId="27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8" fillId="0" borderId="0"/>
    <xf numFmtId="44" fontId="28" fillId="0" borderId="0" applyFont="0" applyFill="0" applyBorder="0" applyAlignment="0" applyProtection="0"/>
    <xf numFmtId="44" fontId="25" fillId="0" borderId="0" applyFont="0" applyFill="0" applyBorder="0" applyAlignment="0" applyProtection="0"/>
    <xf numFmtId="3" fontId="2" fillId="0" borderId="0" applyFill="0" applyBorder="0" applyProtection="0">
      <alignment horizontal="left" vertical="center"/>
    </xf>
  </cellStyleXfs>
  <cellXfs count="94">
    <xf numFmtId="0" fontId="0" fillId="0" borderId="0" xfId="0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3" fillId="0" borderId="0" xfId="0" quotePrefix="1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7" fillId="0" borderId="3" xfId="0" applyFont="1" applyBorder="1"/>
    <xf numFmtId="0" fontId="18" fillId="0" borderId="0" xfId="0" applyFont="1"/>
    <xf numFmtId="43" fontId="18" fillId="0" borderId="0" xfId="1" applyNumberFormat="1" applyFont="1" applyAlignment="1"/>
    <xf numFmtId="0" fontId="18" fillId="0" borderId="3" xfId="0" applyFont="1" applyBorder="1" applyAlignment="1">
      <alignment horizontal="center"/>
    </xf>
    <xf numFmtId="0" fontId="19" fillId="0" borderId="0" xfId="0" applyFont="1"/>
    <xf numFmtId="43" fontId="18" fillId="0" borderId="3" xfId="1" applyNumberFormat="1" applyFont="1" applyBorder="1" applyAlignment="1"/>
    <xf numFmtId="0" fontId="17" fillId="0" borderId="0" xfId="0" applyFont="1"/>
    <xf numFmtId="43" fontId="17" fillId="0" borderId="0" xfId="1" applyNumberFormat="1" applyFont="1" applyAlignment="1"/>
    <xf numFmtId="0" fontId="18" fillId="0" borderId="3" xfId="0" applyFont="1" applyBorder="1"/>
    <xf numFmtId="0" fontId="18" fillId="0" borderId="0" xfId="0" applyFont="1" applyBorder="1" applyAlignment="1">
      <alignment horizontal="center"/>
    </xf>
    <xf numFmtId="43" fontId="18" fillId="0" borderId="0" xfId="1" applyNumberFormat="1" applyFont="1" applyBorder="1" applyAlignment="1"/>
    <xf numFmtId="43" fontId="18" fillId="0" borderId="4" xfId="1" applyNumberFormat="1" applyFont="1" applyBorder="1" applyAlignment="1"/>
    <xf numFmtId="2" fontId="18" fillId="0" borderId="0" xfId="0" applyNumberFormat="1" applyFont="1"/>
    <xf numFmtId="4" fontId="0" fillId="0" borderId="0" xfId="1" applyNumberFormat="1" applyFont="1">
      <alignment vertical="center"/>
    </xf>
    <xf numFmtId="4" fontId="0" fillId="0" borderId="0" xfId="0" applyNumberFormat="1"/>
    <xf numFmtId="0" fontId="22" fillId="0" borderId="0" xfId="0" applyFont="1"/>
    <xf numFmtId="0" fontId="0" fillId="0" borderId="3" xfId="0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3" xfId="0" applyFont="1" applyBorder="1" applyAlignment="1">
      <alignment horizontal="center"/>
    </xf>
    <xf numFmtId="0" fontId="0" fillId="0" borderId="0" xfId="0" applyAlignment="1"/>
    <xf numFmtId="0" fontId="24" fillId="0" borderId="0" xfId="0" applyFont="1"/>
    <xf numFmtId="16" fontId="22" fillId="0" borderId="3" xfId="0" applyNumberFormat="1" applyFont="1" applyBorder="1" applyAlignment="1">
      <alignment horizontal="center"/>
    </xf>
    <xf numFmtId="8" fontId="0" fillId="0" borderId="0" xfId="0" applyNumberFormat="1"/>
    <xf numFmtId="0" fontId="5" fillId="0" borderId="0" xfId="0" applyFont="1" applyAlignment="1">
      <alignment vertical="center"/>
    </xf>
    <xf numFmtId="44" fontId="12" fillId="0" borderId="2" xfId="0" applyNumberFormat="1" applyFont="1" applyBorder="1" applyAlignment="1">
      <alignment vertical="center"/>
    </xf>
    <xf numFmtId="43" fontId="0" fillId="0" borderId="0" xfId="0" applyNumberFormat="1"/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10" fontId="18" fillId="0" borderId="0" xfId="11" applyNumberFormat="1" applyFont="1" applyAlignment="1"/>
    <xf numFmtId="0" fontId="0" fillId="0" borderId="0" xfId="1" applyFont="1">
      <alignment vertical="center"/>
    </xf>
    <xf numFmtId="0" fontId="6" fillId="0" borderId="1" xfId="0" applyFont="1" applyBorder="1" applyAlignment="1">
      <alignment horizontal="center" vertical="center"/>
    </xf>
    <xf numFmtId="44" fontId="0" fillId="0" borderId="0" xfId="0" applyNumberFormat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" fontId="21" fillId="0" borderId="0" xfId="0" quotePrefix="1" applyNumberFormat="1" applyFont="1" applyAlignment="1">
      <alignment horizontal="center"/>
    </xf>
    <xf numFmtId="10" fontId="23" fillId="0" borderId="0" xfId="2" quotePrefix="1" applyNumberFormat="1" applyFont="1" applyAlignment="1">
      <alignment horizontal="center" vertical="center"/>
    </xf>
    <xf numFmtId="16" fontId="18" fillId="0" borderId="0" xfId="0" quotePrefix="1" applyNumberFormat="1" applyFont="1" applyAlignment="1">
      <alignment horizontal="center"/>
    </xf>
    <xf numFmtId="0" fontId="10" fillId="0" borderId="0" xfId="0" applyFont="1"/>
    <xf numFmtId="16" fontId="17" fillId="0" borderId="3" xfId="0" quotePrefix="1" applyNumberFormat="1" applyFont="1" applyBorder="1" applyAlignment="1">
      <alignment horizontal="center"/>
    </xf>
    <xf numFmtId="0" fontId="17" fillId="0" borderId="3" xfId="0" quotePrefix="1" applyFont="1" applyBorder="1" applyAlignment="1">
      <alignment horizontal="center"/>
    </xf>
    <xf numFmtId="0" fontId="21" fillId="0" borderId="3" xfId="0" quotePrefix="1" applyFont="1" applyBorder="1" applyAlignment="1">
      <alignment horizontal="center"/>
    </xf>
    <xf numFmtId="0" fontId="0" fillId="0" borderId="3" xfId="0" applyBorder="1"/>
    <xf numFmtId="164" fontId="0" fillId="0" borderId="0" xfId="1" applyNumberFormat="1" applyFont="1">
      <alignment vertical="center"/>
    </xf>
    <xf numFmtId="164" fontId="0" fillId="0" borderId="3" xfId="1" applyNumberFormat="1" applyFont="1" applyBorder="1">
      <alignment vertical="center"/>
    </xf>
    <xf numFmtId="164" fontId="0" fillId="0" borderId="0" xfId="0" applyNumberFormat="1"/>
    <xf numFmtId="9" fontId="10" fillId="0" borderId="0" xfId="2" applyNumberFormat="1" applyFont="1">
      <alignment horizontal="left" vertical="center"/>
    </xf>
    <xf numFmtId="39" fontId="0" fillId="0" borderId="0" xfId="1" applyNumberFormat="1" applyFont="1">
      <alignment vertical="center"/>
    </xf>
    <xf numFmtId="39" fontId="0" fillId="0" borderId="3" xfId="1" applyNumberFormat="1" applyFont="1" applyBorder="1">
      <alignment vertical="center"/>
    </xf>
    <xf numFmtId="39" fontId="0" fillId="0" borderId="4" xfId="1" applyNumberFormat="1" applyFont="1" applyBorder="1">
      <alignment vertical="center"/>
    </xf>
    <xf numFmtId="9" fontId="10" fillId="0" borderId="0" xfId="2" applyNumberFormat="1" applyFont="1" applyAlignment="1">
      <alignment horizontal="center" vertical="center"/>
    </xf>
    <xf numFmtId="4" fontId="0" fillId="0" borderId="3" xfId="1" applyNumberFormat="1" applyFont="1" applyBorder="1">
      <alignment vertical="center"/>
    </xf>
    <xf numFmtId="0" fontId="21" fillId="0" borderId="3" xfId="0" quotePrefix="1" applyFont="1" applyBorder="1"/>
    <xf numFmtId="0" fontId="21" fillId="0" borderId="3" xfId="0" applyFont="1" applyBorder="1"/>
    <xf numFmtId="165" fontId="0" fillId="0" borderId="0" xfId="0" applyNumberFormat="1"/>
    <xf numFmtId="0" fontId="29" fillId="0" borderId="0" xfId="0" applyFont="1"/>
    <xf numFmtId="13" fontId="18" fillId="0" borderId="3" xfId="1" applyNumberFormat="1" applyFont="1" applyBorder="1" applyAlignment="1">
      <alignment horizontal="center"/>
    </xf>
    <xf numFmtId="10" fontId="18" fillId="0" borderId="0" xfId="1" applyNumberFormat="1" applyFont="1" applyAlignment="1"/>
    <xf numFmtId="10" fontId="10" fillId="0" borderId="0" xfId="2" applyNumberFormat="1" applyFont="1">
      <alignment horizontal="left" vertical="center"/>
    </xf>
    <xf numFmtId="0" fontId="16" fillId="0" borderId="0" xfId="0" applyFont="1" applyAlignment="1"/>
    <xf numFmtId="16" fontId="6" fillId="0" borderId="0" xfId="0" quotePrefix="1" applyNumberFormat="1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4" fontId="8" fillId="0" borderId="3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16" fontId="21" fillId="0" borderId="3" xfId="0" quotePrefix="1" applyNumberFormat="1" applyFont="1" applyBorder="1" applyAlignment="1">
      <alignment horizontal="center"/>
    </xf>
    <xf numFmtId="40" fontId="0" fillId="0" borderId="0" xfId="0" applyNumberFormat="1"/>
    <xf numFmtId="9" fontId="0" fillId="0" borderId="0" xfId="0" applyNumberFormat="1"/>
    <xf numFmtId="40" fontId="0" fillId="0" borderId="3" xfId="0" applyNumberFormat="1" applyBorder="1"/>
    <xf numFmtId="0" fontId="21" fillId="0" borderId="0" xfId="0" applyFont="1"/>
    <xf numFmtId="40" fontId="21" fillId="0" borderId="4" xfId="0" applyNumberFormat="1" applyFont="1" applyBorder="1"/>
    <xf numFmtId="40" fontId="0" fillId="0" borderId="0" xfId="0" applyNumberFormat="1" applyBorder="1"/>
    <xf numFmtId="40" fontId="10" fillId="0" borderId="3" xfId="0" applyNumberFormat="1" applyFont="1" applyBorder="1"/>
    <xf numFmtId="9" fontId="30" fillId="0" borderId="0" xfId="2" applyNumberFormat="1" applyFont="1">
      <alignment horizontal="left" vertical="center"/>
    </xf>
    <xf numFmtId="166" fontId="0" fillId="0" borderId="0" xfId="0" applyNumberFormat="1"/>
    <xf numFmtId="0" fontId="0" fillId="0" borderId="0" xfId="0" applyBorder="1" applyAlignment="1">
      <alignment horizontal="center"/>
    </xf>
    <xf numFmtId="167" fontId="0" fillId="0" borderId="0" xfId="0" applyNumberFormat="1"/>
    <xf numFmtId="16" fontId="21" fillId="0" borderId="3" xfId="0" quotePrefix="1" applyNumberFormat="1" applyFont="1" applyBorder="1"/>
    <xf numFmtId="9" fontId="10" fillId="0" borderId="0" xfId="0" applyNumberFormat="1" applyFont="1"/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0" quotePrefix="1" applyFont="1" applyBorder="1" applyAlignment="1">
      <alignment horizontal="center"/>
    </xf>
    <xf numFmtId="16" fontId="17" fillId="0" borderId="0" xfId="0" quotePrefix="1" applyNumberFormat="1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12">
    <cellStyle name="Comma" xfId="1" builtinId="3"/>
    <cellStyle name="Comma 2" xfId="7"/>
    <cellStyle name="Currency 2" xfId="9"/>
    <cellStyle name="Currency 3" xfId="10"/>
    <cellStyle name="Normal" xfId="0" builtinId="0"/>
    <cellStyle name="Normal 2" xfId="5"/>
    <cellStyle name="Normal 2 2" xfId="8"/>
    <cellStyle name="Normal 3" xfId="4"/>
    <cellStyle name="Normal 4" xfId="3"/>
    <cellStyle name="Percent" xfId="2" builtinId="5"/>
    <cellStyle name="Percent 2" xfId="6"/>
    <cellStyle name="Percent 3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tabSelected="1" workbookViewId="0">
      <selection activeCell="A3" sqref="A3"/>
    </sheetView>
  </sheetViews>
  <sheetFormatPr defaultRowHeight="12.75"/>
  <cols>
    <col min="1" max="1" width="27.5703125" customWidth="1"/>
    <col min="2" max="2" width="9.140625" customWidth="1"/>
  </cols>
  <sheetData>
    <row r="2" spans="1:5">
      <c r="A2" s="78" t="s">
        <v>106</v>
      </c>
    </row>
    <row r="3" spans="1:5">
      <c r="A3" s="78"/>
    </row>
    <row r="4" spans="1:5">
      <c r="B4" s="88" t="s">
        <v>111</v>
      </c>
      <c r="C4" s="88"/>
      <c r="D4" s="88"/>
    </row>
    <row r="5" spans="1:5">
      <c r="B5" s="26" t="s">
        <v>95</v>
      </c>
      <c r="C5" s="26" t="s">
        <v>96</v>
      </c>
      <c r="D5" s="26" t="s">
        <v>97</v>
      </c>
    </row>
    <row r="6" spans="1:5">
      <c r="B6" s="84"/>
      <c r="C6" s="84"/>
      <c r="D6" s="84"/>
    </row>
    <row r="7" spans="1:5">
      <c r="A7" s="78" t="s">
        <v>102</v>
      </c>
    </row>
    <row r="8" spans="1:5">
      <c r="A8" t="s">
        <v>92</v>
      </c>
      <c r="B8" s="83">
        <v>2.5000000000000001E-2</v>
      </c>
      <c r="C8" s="83">
        <v>2.5000000000000001E-2</v>
      </c>
      <c r="D8" s="83">
        <v>2.5000000000000001E-2</v>
      </c>
    </row>
    <row r="9" spans="1:5">
      <c r="A9" s="48" t="s">
        <v>46</v>
      </c>
      <c r="B9" s="85">
        <v>25</v>
      </c>
      <c r="C9" s="85"/>
      <c r="D9" s="85"/>
    </row>
    <row r="10" spans="1:5">
      <c r="A10" t="s">
        <v>94</v>
      </c>
      <c r="B10" s="76">
        <v>0.04</v>
      </c>
      <c r="C10" s="76">
        <v>0.03</v>
      </c>
      <c r="D10" s="76">
        <v>0.03</v>
      </c>
      <c r="E10" s="48" t="s">
        <v>98</v>
      </c>
    </row>
    <row r="11" spans="1:5">
      <c r="A11" s="48" t="s">
        <v>54</v>
      </c>
      <c r="B11" s="76">
        <v>0.03</v>
      </c>
      <c r="C11" s="76">
        <v>0.03</v>
      </c>
      <c r="D11" s="76">
        <v>0.03</v>
      </c>
    </row>
    <row r="12" spans="1:5">
      <c r="A12" s="48" t="s">
        <v>53</v>
      </c>
      <c r="B12" s="76">
        <v>0.03</v>
      </c>
      <c r="C12" s="76">
        <v>0.03</v>
      </c>
      <c r="D12" s="76">
        <v>0.03</v>
      </c>
    </row>
    <row r="13" spans="1:5">
      <c r="A13" s="48" t="s">
        <v>99</v>
      </c>
    </row>
    <row r="14" spans="1:5">
      <c r="A14" s="48" t="s">
        <v>100</v>
      </c>
      <c r="B14" s="76">
        <v>0.02</v>
      </c>
      <c r="C14" s="76">
        <v>0.02</v>
      </c>
      <c r="D14" s="76">
        <v>0.02</v>
      </c>
    </row>
    <row r="15" spans="1:5">
      <c r="A15" s="48" t="s">
        <v>101</v>
      </c>
      <c r="B15" s="76">
        <v>0.02</v>
      </c>
      <c r="C15" s="76">
        <v>0.02</v>
      </c>
      <c r="D15" s="76">
        <v>0.02</v>
      </c>
    </row>
    <row r="16" spans="1:5">
      <c r="B16" s="76"/>
      <c r="C16" s="76"/>
      <c r="D16" s="76"/>
    </row>
    <row r="17" spans="1:4">
      <c r="A17" s="78" t="s">
        <v>103</v>
      </c>
      <c r="B17" s="76"/>
      <c r="C17" s="76"/>
      <c r="D17" s="76"/>
    </row>
    <row r="18" spans="1:4">
      <c r="A18" s="48" t="s">
        <v>104</v>
      </c>
      <c r="B18" s="83">
        <v>2.5000000000000001E-2</v>
      </c>
      <c r="C18" s="83">
        <v>2.5000000000000001E-2</v>
      </c>
      <c r="D18" s="83">
        <v>2.5000000000000001E-2</v>
      </c>
    </row>
    <row r="19" spans="1:4">
      <c r="A19" s="48" t="s">
        <v>105</v>
      </c>
      <c r="B19" s="83">
        <v>0.06</v>
      </c>
      <c r="C19" s="83">
        <v>0.06</v>
      </c>
      <c r="D19" s="83">
        <v>0.06</v>
      </c>
    </row>
    <row r="20" spans="1:4">
      <c r="A20" s="48" t="s">
        <v>74</v>
      </c>
      <c r="B20" s="76">
        <v>0.01</v>
      </c>
      <c r="C20" s="76">
        <v>0.01</v>
      </c>
      <c r="D20" s="76">
        <v>0.01</v>
      </c>
    </row>
    <row r="21" spans="1:4">
      <c r="A21" s="48" t="s">
        <v>16</v>
      </c>
      <c r="B21" s="87" t="s">
        <v>82</v>
      </c>
      <c r="C21" s="76"/>
      <c r="D21" s="76"/>
    </row>
    <row r="22" spans="1:4">
      <c r="B22" s="76"/>
      <c r="C22" s="76"/>
      <c r="D22" s="76"/>
    </row>
    <row r="23" spans="1:4">
      <c r="B23" s="76"/>
      <c r="C23" s="76"/>
      <c r="D23" s="76"/>
    </row>
    <row r="24" spans="1:4">
      <c r="B24" s="76"/>
      <c r="C24" s="76"/>
      <c r="D24" s="76"/>
    </row>
    <row r="25" spans="1:4">
      <c r="B25" s="76"/>
      <c r="C25" s="76"/>
      <c r="D25" s="76"/>
    </row>
    <row r="26" spans="1:4">
      <c r="B26" s="76"/>
      <c r="C26" s="76"/>
      <c r="D26" s="76"/>
    </row>
    <row r="27" spans="1:4">
      <c r="B27" s="76"/>
      <c r="C27" s="76"/>
      <c r="D27" s="76"/>
    </row>
    <row r="28" spans="1:4">
      <c r="B28" s="82"/>
      <c r="C28" s="82"/>
      <c r="D28" s="82"/>
    </row>
    <row r="29" spans="1:4">
      <c r="B29" s="82"/>
      <c r="C29" s="82"/>
      <c r="D29" s="82"/>
    </row>
  </sheetData>
  <mergeCells count="1">
    <mergeCell ref="B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3" sqref="A3"/>
    </sheetView>
  </sheetViews>
  <sheetFormatPr defaultColWidth="19.42578125" defaultRowHeight="12.75"/>
  <cols>
    <col min="1" max="1" width="20.140625" customWidth="1"/>
    <col min="2" max="2" width="1.7109375" customWidth="1"/>
    <col min="3" max="3" width="12.7109375" customWidth="1"/>
    <col min="4" max="4" width="16" customWidth="1"/>
    <col min="5" max="6" width="14.85546875" customWidth="1"/>
    <col min="7" max="7" width="32.28515625" customWidth="1"/>
  </cols>
  <sheetData>
    <row r="1" spans="1:7" ht="20.25" customHeight="1">
      <c r="A1" s="89" t="s">
        <v>50</v>
      </c>
      <c r="B1" s="89"/>
      <c r="C1" s="89"/>
      <c r="D1" s="89"/>
      <c r="E1" s="89"/>
      <c r="F1" s="89"/>
      <c r="G1" s="3"/>
    </row>
    <row r="2" spans="1:7" ht="18.75" customHeight="1">
      <c r="A2" s="90" t="s">
        <v>73</v>
      </c>
      <c r="B2" s="90"/>
      <c r="C2" s="90"/>
      <c r="D2" s="90"/>
      <c r="E2" s="90"/>
      <c r="F2" s="90"/>
      <c r="G2" s="34"/>
    </row>
    <row r="3" spans="1:7" ht="18.75" customHeight="1">
      <c r="A3" s="1"/>
      <c r="B3" s="1"/>
      <c r="C3" s="1"/>
      <c r="D3" s="1"/>
      <c r="E3" s="1"/>
      <c r="F3" s="1"/>
      <c r="G3" s="34"/>
    </row>
    <row r="4" spans="1:7">
      <c r="C4" s="7" t="s">
        <v>0</v>
      </c>
      <c r="D4" s="70" t="s">
        <v>69</v>
      </c>
      <c r="E4" s="71" t="s">
        <v>70</v>
      </c>
      <c r="F4" s="71" t="s">
        <v>71</v>
      </c>
      <c r="G4" s="3"/>
    </row>
    <row r="5" spans="1:7">
      <c r="C5" s="8" t="s">
        <v>1</v>
      </c>
      <c r="D5" s="41" t="s">
        <v>72</v>
      </c>
      <c r="E5" s="41" t="s">
        <v>72</v>
      </c>
      <c r="F5" s="41" t="s">
        <v>72</v>
      </c>
      <c r="G5" s="3"/>
    </row>
    <row r="6" spans="1:7" ht="13.5" customHeight="1">
      <c r="A6" s="6" t="s">
        <v>2</v>
      </c>
      <c r="G6" s="3"/>
    </row>
    <row r="7" spans="1:7" ht="9.75" customHeight="1">
      <c r="A7" s="6"/>
      <c r="G7" s="3"/>
    </row>
    <row r="8" spans="1:7">
      <c r="A8" s="34" t="s">
        <v>3</v>
      </c>
      <c r="C8" s="4">
        <v>433180</v>
      </c>
      <c r="D8" s="4">
        <f>+ROUND(C8*1.025,0)</f>
        <v>444010</v>
      </c>
      <c r="E8" s="4">
        <f>+ROUND(D8*1.025,0)</f>
        <v>455110</v>
      </c>
      <c r="F8" s="4">
        <f>+ROUND(E8*1.025,0)</f>
        <v>466488</v>
      </c>
      <c r="G8" s="3"/>
    </row>
    <row r="9" spans="1:7">
      <c r="A9" s="34" t="s">
        <v>75</v>
      </c>
      <c r="C9" s="4">
        <f>27600+14850+167315.47+274423.3+89700+22000</f>
        <v>595888.77</v>
      </c>
      <c r="D9" s="4">
        <f>+'Tuition Summary'!C11</f>
        <v>613497.63806076464</v>
      </c>
      <c r="E9" s="4">
        <f>+'Tuition Summary'!D11</f>
        <v>640154.83383465477</v>
      </c>
      <c r="F9" s="4">
        <f>+'Tuition Summary'!E11</f>
        <v>670675.3187945548</v>
      </c>
      <c r="G9" s="3"/>
    </row>
    <row r="10" spans="1:7">
      <c r="A10" s="34" t="s">
        <v>74</v>
      </c>
      <c r="C10" s="72">
        <f>4700+43000+88500+64000+55000+12000+820+5800+9381.65</f>
        <v>283201.65000000002</v>
      </c>
      <c r="D10" s="72">
        <f>+'Tuition Summary'!C24</f>
        <v>287613.09950000001</v>
      </c>
      <c r="E10" s="72">
        <f>+'Tuition Summary'!D24</f>
        <v>291724.992485</v>
      </c>
      <c r="F10" s="72">
        <f>+'Tuition Summary'!E24</f>
        <v>295868.02225954999</v>
      </c>
      <c r="G10" s="37"/>
    </row>
    <row r="11" spans="1:7">
      <c r="A11" s="2"/>
      <c r="G11" s="37"/>
    </row>
    <row r="12" spans="1:7">
      <c r="A12" s="9" t="s">
        <v>12</v>
      </c>
      <c r="C12" s="4">
        <f>SUM(C8:C11)</f>
        <v>1312270.42</v>
      </c>
      <c r="D12" s="4">
        <f>SUM(D8:D11)</f>
        <v>1345120.7375607647</v>
      </c>
      <c r="E12" s="4">
        <f>SUM(E8:E11)</f>
        <v>1386989.8263196547</v>
      </c>
      <c r="F12" s="4">
        <f>SUM(F8:F11)</f>
        <v>1433031.3410541047</v>
      </c>
      <c r="G12" s="38"/>
    </row>
    <row r="13" spans="1:7">
      <c r="G13" s="38"/>
    </row>
    <row r="14" spans="1:7" ht="14.25">
      <c r="A14" s="6" t="s">
        <v>13</v>
      </c>
      <c r="D14" s="4"/>
      <c r="G14" s="38"/>
    </row>
    <row r="15" spans="1:7" ht="14.25">
      <c r="A15" s="6"/>
      <c r="D15" s="4"/>
      <c r="G15" s="38"/>
    </row>
    <row r="16" spans="1:7">
      <c r="A16" s="34" t="s">
        <v>76</v>
      </c>
      <c r="C16" s="73">
        <f>466560.56+96696.55+21562.2+33746.88+11635.75+22473.63+8000+5845+5865</f>
        <v>672385.57</v>
      </c>
      <c r="D16" s="4">
        <f t="shared" ref="D16:F17" si="0">+C16*1.025</f>
        <v>689195.20924999984</v>
      </c>
      <c r="E16" s="4">
        <f t="shared" si="0"/>
        <v>706425.0894812498</v>
      </c>
      <c r="F16" s="4">
        <f t="shared" si="0"/>
        <v>724085.71671828104</v>
      </c>
      <c r="G16" s="37"/>
    </row>
    <row r="17" spans="1:8">
      <c r="A17" s="34" t="s">
        <v>80</v>
      </c>
      <c r="C17" s="73">
        <f>4551.75+8714.96+58158.2+17032.83+65664.67</f>
        <v>154122.41</v>
      </c>
      <c r="D17" s="4">
        <f t="shared" si="0"/>
        <v>157975.47024999998</v>
      </c>
      <c r="E17" s="4">
        <f t="shared" si="0"/>
        <v>161924.85700624998</v>
      </c>
      <c r="F17" s="4">
        <f t="shared" si="0"/>
        <v>165972.97843140623</v>
      </c>
      <c r="G17" s="37"/>
    </row>
    <row r="18" spans="1:8">
      <c r="A18" s="34" t="s">
        <v>77</v>
      </c>
      <c r="C18" s="73">
        <f>207327.45+27514.2</f>
        <v>234841.65000000002</v>
      </c>
      <c r="D18" s="73">
        <f>+(C18*0.88*1.06)+(C18*0.12*1.025)</f>
        <v>247945.81407000005</v>
      </c>
      <c r="E18" s="73">
        <f>+(D18*0.88*1.06)+(D18*0.12*1.025)</f>
        <v>261781.19049510607</v>
      </c>
      <c r="F18" s="73">
        <f>+(E18*0.88*1.06)+(E18*0.12*1.025)</f>
        <v>276388.58092473296</v>
      </c>
      <c r="G18" s="37"/>
      <c r="H18" s="48"/>
    </row>
    <row r="19" spans="1:8">
      <c r="A19" s="34" t="s">
        <v>78</v>
      </c>
      <c r="C19" s="73">
        <v>47855</v>
      </c>
      <c r="D19" s="4">
        <f t="shared" ref="D19:F21" si="1">+C19*1.01</f>
        <v>48333.55</v>
      </c>
      <c r="E19" s="4">
        <f t="shared" si="1"/>
        <v>48816.885500000004</v>
      </c>
      <c r="F19" s="4">
        <f t="shared" si="1"/>
        <v>49305.054355000007</v>
      </c>
      <c r="G19" s="37"/>
    </row>
    <row r="20" spans="1:8">
      <c r="A20" s="34" t="s">
        <v>81</v>
      </c>
      <c r="C20" s="73">
        <f>162407.74-4551.75-8714.96-58158.2-17032.83+4000+200+1000+2500+600</f>
        <v>82250</v>
      </c>
      <c r="D20" s="4">
        <f t="shared" si="1"/>
        <v>83072.5</v>
      </c>
      <c r="E20" s="4">
        <f t="shared" si="1"/>
        <v>83903.225000000006</v>
      </c>
      <c r="F20" s="4">
        <f t="shared" si="1"/>
        <v>84742.25725000001</v>
      </c>
      <c r="G20" s="37"/>
    </row>
    <row r="21" spans="1:8">
      <c r="A21" s="34" t="s">
        <v>14</v>
      </c>
      <c r="C21" s="73">
        <v>92350.5</v>
      </c>
      <c r="D21" s="4">
        <f t="shared" si="1"/>
        <v>93274.005000000005</v>
      </c>
      <c r="E21" s="4">
        <f t="shared" si="1"/>
        <v>94206.745050000012</v>
      </c>
      <c r="F21" s="4">
        <f t="shared" si="1"/>
        <v>95148.812500500018</v>
      </c>
      <c r="G21" s="37"/>
    </row>
    <row r="22" spans="1:8">
      <c r="A22" s="34" t="s">
        <v>15</v>
      </c>
      <c r="C22" s="73">
        <v>1000</v>
      </c>
      <c r="D22" s="4">
        <v>1000</v>
      </c>
      <c r="E22" s="4">
        <v>1000</v>
      </c>
      <c r="F22" s="4">
        <v>1000</v>
      </c>
      <c r="G22" s="37"/>
    </row>
    <row r="23" spans="1:8">
      <c r="A23" s="34" t="s">
        <v>16</v>
      </c>
      <c r="C23" s="73">
        <v>12050</v>
      </c>
      <c r="D23" s="4">
        <v>8793</v>
      </c>
      <c r="E23" s="4">
        <v>7935</v>
      </c>
      <c r="F23" s="4">
        <v>7029</v>
      </c>
      <c r="G23" s="37"/>
    </row>
    <row r="24" spans="1:8">
      <c r="A24" s="34" t="s">
        <v>79</v>
      </c>
      <c r="C24" s="73">
        <v>13200</v>
      </c>
      <c r="D24" s="73">
        <v>13200</v>
      </c>
      <c r="E24" s="73">
        <v>13200</v>
      </c>
      <c r="F24" s="73">
        <v>13200</v>
      </c>
      <c r="G24" s="37"/>
    </row>
    <row r="25" spans="1:8">
      <c r="C25" s="73"/>
      <c r="F25" s="4"/>
      <c r="G25" s="37"/>
    </row>
    <row r="26" spans="1:8">
      <c r="C26" s="73"/>
      <c r="G26" s="37"/>
    </row>
    <row r="27" spans="1:8">
      <c r="A27" s="9" t="s">
        <v>17</v>
      </c>
      <c r="C27" s="73">
        <f>SUM(C16:C26)</f>
        <v>1310055.1299999999</v>
      </c>
      <c r="D27" s="73">
        <f t="shared" ref="D27:F27" si="2">SUM(D16:D26)</f>
        <v>1342789.5485700001</v>
      </c>
      <c r="E27" s="73">
        <f t="shared" si="2"/>
        <v>1379192.992532606</v>
      </c>
      <c r="F27" s="73">
        <f t="shared" si="2"/>
        <v>1416872.4001799203</v>
      </c>
      <c r="G27" s="37"/>
    </row>
    <row r="28" spans="1:8">
      <c r="A28" s="9"/>
      <c r="C28" s="73"/>
      <c r="D28" s="73"/>
      <c r="E28" s="73"/>
      <c r="F28" s="73"/>
      <c r="G28" s="37"/>
    </row>
    <row r="29" spans="1:8">
      <c r="A29" s="9"/>
      <c r="C29" s="73"/>
      <c r="D29" s="73"/>
      <c r="E29" s="73"/>
      <c r="F29" s="73"/>
      <c r="G29" s="37"/>
    </row>
    <row r="30" spans="1:8">
      <c r="C30" s="73"/>
      <c r="G30" s="37"/>
    </row>
    <row r="31" spans="1:8" ht="16.5" thickBot="1">
      <c r="A31" s="5" t="s">
        <v>18</v>
      </c>
      <c r="C31" s="73">
        <v>2215.234781133011</v>
      </c>
      <c r="D31" s="35">
        <f>+D12-D27</f>
        <v>2331.1889907645527</v>
      </c>
      <c r="E31" s="35">
        <f>+E12-E27</f>
        <v>7796.8337870487012</v>
      </c>
      <c r="F31" s="35">
        <f>+F12-F27</f>
        <v>16158.940874184482</v>
      </c>
      <c r="G31" s="3"/>
    </row>
    <row r="32" spans="1:8" ht="13.5" thickTop="1">
      <c r="C32" s="73"/>
      <c r="G32" s="3"/>
    </row>
    <row r="33" spans="3:7">
      <c r="C33" s="73"/>
      <c r="D33" s="42"/>
      <c r="G33" s="3"/>
    </row>
    <row r="34" spans="3:7">
      <c r="C34" s="73"/>
      <c r="G34" s="3"/>
    </row>
    <row r="35" spans="3:7">
      <c r="C35" s="73"/>
    </row>
    <row r="36" spans="3:7">
      <c r="C36" s="73"/>
    </row>
    <row r="37" spans="3:7">
      <c r="C37" s="73"/>
    </row>
    <row r="38" spans="3:7">
      <c r="C38" s="73"/>
    </row>
    <row r="39" spans="3:7">
      <c r="C39" s="73"/>
    </row>
    <row r="40" spans="3:7">
      <c r="C40" s="73"/>
    </row>
    <row r="41" spans="3:7">
      <c r="C41" s="73"/>
    </row>
    <row r="42" spans="3:7">
      <c r="C42" s="73"/>
    </row>
    <row r="43" spans="3:7">
      <c r="C43" s="73"/>
    </row>
    <row r="44" spans="3:7">
      <c r="C44" s="73"/>
    </row>
    <row r="45" spans="3:7">
      <c r="C45" s="73"/>
    </row>
    <row r="46" spans="3:7">
      <c r="C46" s="73"/>
    </row>
    <row r="47" spans="3:7">
      <c r="C47" s="73"/>
    </row>
    <row r="48" spans="3:7">
      <c r="C48" s="73"/>
    </row>
    <row r="49" spans="3:3">
      <c r="C49" s="73"/>
    </row>
    <row r="50" spans="3:3">
      <c r="C50" s="73"/>
    </row>
    <row r="51" spans="3:3">
      <c r="C51" s="73"/>
    </row>
    <row r="52" spans="3:3">
      <c r="C52" s="73"/>
    </row>
    <row r="53" spans="3:3">
      <c r="C53" s="73"/>
    </row>
    <row r="54" spans="3:3">
      <c r="C54" s="73"/>
    </row>
    <row r="55" spans="3:3">
      <c r="C55" s="73"/>
    </row>
    <row r="56" spans="3:3">
      <c r="C56" s="73"/>
    </row>
    <row r="57" spans="3:3">
      <c r="C57" s="73"/>
    </row>
    <row r="58" spans="3:3">
      <c r="C58" s="73"/>
    </row>
    <row r="59" spans="3:3">
      <c r="C59" s="73"/>
    </row>
    <row r="60" spans="3:3">
      <c r="C60" s="73"/>
    </row>
    <row r="61" spans="3:3">
      <c r="C61" s="73"/>
    </row>
    <row r="62" spans="3:3">
      <c r="C62" s="73"/>
    </row>
    <row r="63" spans="3:3">
      <c r="C63" s="73"/>
    </row>
    <row r="64" spans="3:3">
      <c r="C64" s="73"/>
    </row>
    <row r="65" spans="3:3">
      <c r="C65" s="73"/>
    </row>
    <row r="66" spans="3:3">
      <c r="C66" s="73"/>
    </row>
    <row r="67" spans="3:3">
      <c r="C67" s="73"/>
    </row>
    <row r="68" spans="3:3">
      <c r="C68" s="73"/>
    </row>
    <row r="69" spans="3:3">
      <c r="C69" s="73"/>
    </row>
    <row r="70" spans="3:3">
      <c r="C70" s="73"/>
    </row>
    <row r="71" spans="3:3">
      <c r="C71" s="73"/>
    </row>
    <row r="72" spans="3:3">
      <c r="C72" s="73"/>
    </row>
    <row r="73" spans="3:3">
      <c r="C73" s="73"/>
    </row>
    <row r="74" spans="3:3">
      <c r="C74" s="73"/>
    </row>
    <row r="75" spans="3:3">
      <c r="C75" s="73"/>
    </row>
    <row r="76" spans="3:3">
      <c r="C76" s="73"/>
    </row>
    <row r="77" spans="3:3">
      <c r="C77" s="73"/>
    </row>
    <row r="78" spans="3:3">
      <c r="C78" s="73"/>
    </row>
    <row r="79" spans="3:3">
      <c r="C79" s="73"/>
    </row>
    <row r="80" spans="3:3">
      <c r="C80" s="73"/>
    </row>
    <row r="81" spans="3:3">
      <c r="C81" s="73"/>
    </row>
    <row r="82" spans="3:3">
      <c r="C82" s="73"/>
    </row>
    <row r="83" spans="3:3">
      <c r="C83" s="73"/>
    </row>
    <row r="84" spans="3:3">
      <c r="C84" s="73"/>
    </row>
    <row r="85" spans="3:3">
      <c r="C85" s="73"/>
    </row>
    <row r="86" spans="3:3">
      <c r="C86" s="73"/>
    </row>
    <row r="87" spans="3:3">
      <c r="C87" s="73"/>
    </row>
    <row r="88" spans="3:3">
      <c r="C88" s="73"/>
    </row>
    <row r="89" spans="3:3">
      <c r="C89" s="73"/>
    </row>
    <row r="90" spans="3:3">
      <c r="C90" s="73"/>
    </row>
    <row r="91" spans="3:3">
      <c r="C91" s="73"/>
    </row>
  </sheetData>
  <mergeCells count="2">
    <mergeCell ref="A1:F1"/>
    <mergeCell ref="A2:F2"/>
  </mergeCells>
  <printOptions horizontalCentered="1"/>
  <pageMargins left="0.34" right="0.32" top="0.54" bottom="0.52" header="0.5" footer="0.5"/>
  <pageSetup fitToHeight="1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F28"/>
  <sheetViews>
    <sheetView workbookViewId="0">
      <selection activeCell="D5" sqref="D5"/>
    </sheetView>
  </sheetViews>
  <sheetFormatPr defaultRowHeight="12.75"/>
  <cols>
    <col min="1" max="1" width="20" customWidth="1"/>
    <col min="2" max="2" width="12.28515625" customWidth="1"/>
    <col min="3" max="3" width="12.85546875" customWidth="1"/>
    <col min="4" max="4" width="13.7109375" customWidth="1"/>
    <col min="5" max="5" width="14.7109375" customWidth="1"/>
  </cols>
  <sheetData>
    <row r="3" spans="1:6">
      <c r="B3" s="86" t="s">
        <v>115</v>
      </c>
      <c r="C3" s="74" t="s">
        <v>57</v>
      </c>
      <c r="D3" s="51" t="s">
        <v>58</v>
      </c>
      <c r="E3" s="51" t="s">
        <v>59</v>
      </c>
    </row>
    <row r="5" spans="1:6">
      <c r="A5" t="s">
        <v>5</v>
      </c>
      <c r="B5" s="75">
        <v>27600</v>
      </c>
      <c r="C5" s="75">
        <f>+Preschool!E25+'Tuition K-8'!D21</f>
        <v>31950</v>
      </c>
      <c r="D5" s="75">
        <f>+Preschool!G25+'Tuition K-8'!F21</f>
        <v>32875</v>
      </c>
      <c r="E5" s="75">
        <f>+Preschool!I25+'Tuition K-8'!H21</f>
        <v>33800</v>
      </c>
    </row>
    <row r="6" spans="1:6">
      <c r="A6" t="s">
        <v>83</v>
      </c>
      <c r="B6" s="75">
        <v>14850</v>
      </c>
      <c r="C6" s="75">
        <f>+'Tuition K-8'!D23</f>
        <v>13632</v>
      </c>
      <c r="D6" s="75">
        <f>+'Tuition K-8'!F23</f>
        <v>14112</v>
      </c>
      <c r="E6" s="75">
        <f>+'Tuition K-8'!H23</f>
        <v>14592</v>
      </c>
    </row>
    <row r="7" spans="1:6">
      <c r="A7" t="s">
        <v>52</v>
      </c>
      <c r="B7" s="75">
        <v>167315.47</v>
      </c>
      <c r="C7" s="75">
        <f>+Preschool!E36</f>
        <v>176518.1018117647</v>
      </c>
      <c r="D7" s="75">
        <f>+Preschool!G36</f>
        <v>181824.89698676468</v>
      </c>
      <c r="E7" s="75">
        <f>+Preschool!I36</f>
        <v>187497.51696176466</v>
      </c>
    </row>
    <row r="8" spans="1:6">
      <c r="A8" t="s">
        <v>53</v>
      </c>
      <c r="B8" s="75">
        <v>89700</v>
      </c>
      <c r="C8" s="75">
        <f>+Enrichment!C20</f>
        <v>92391.000000000015</v>
      </c>
      <c r="D8" s="75">
        <f>+Enrichment!D20</f>
        <v>95162.73000000001</v>
      </c>
      <c r="E8" s="75">
        <f>+Enrichment!E20</f>
        <v>98017.611900000004</v>
      </c>
    </row>
    <row r="9" spans="1:6">
      <c r="A9" t="s">
        <v>51</v>
      </c>
      <c r="B9" s="75">
        <v>274423.3</v>
      </c>
      <c r="C9" s="80">
        <f>+'Tuition K-8'!D17</f>
        <v>296506.536249</v>
      </c>
      <c r="D9" s="80">
        <f>+'Tuition K-8'!F17</f>
        <v>316180.20684789005</v>
      </c>
      <c r="E9" s="80">
        <f>+'Tuition K-8'!H17</f>
        <v>336768.18993279006</v>
      </c>
    </row>
    <row r="10" spans="1:6">
      <c r="A10" s="48" t="s">
        <v>6</v>
      </c>
      <c r="B10" s="77">
        <v>22000</v>
      </c>
      <c r="C10" s="77">
        <v>2500</v>
      </c>
      <c r="D10" s="77"/>
      <c r="E10" s="77"/>
    </row>
    <row r="11" spans="1:6" ht="13.5" thickBot="1">
      <c r="A11" s="78" t="s">
        <v>88</v>
      </c>
      <c r="B11" s="79">
        <f>SUM(B5:B10)</f>
        <v>595888.77</v>
      </c>
      <c r="C11" s="79">
        <f>SUM(C5:C10)</f>
        <v>613497.63806076464</v>
      </c>
      <c r="D11" s="79">
        <f t="shared" ref="D11:E11" si="0">SUM(D5:D10)</f>
        <v>640154.83383465477</v>
      </c>
      <c r="E11" s="79">
        <f t="shared" si="0"/>
        <v>670675.3187945548</v>
      </c>
    </row>
    <row r="12" spans="1:6" ht="13.5" thickTop="1"/>
    <row r="14" spans="1:6">
      <c r="A14" s="48" t="s">
        <v>89</v>
      </c>
      <c r="B14" s="48"/>
    </row>
    <row r="15" spans="1:6">
      <c r="A15" t="s">
        <v>54</v>
      </c>
      <c r="B15" s="75">
        <v>88500</v>
      </c>
      <c r="C15" s="75">
        <f>+AOK!D9</f>
        <v>91200</v>
      </c>
      <c r="D15" s="75">
        <f>+AOK!E9</f>
        <v>93900</v>
      </c>
      <c r="E15" s="75">
        <f>+AOK!F9</f>
        <v>96600</v>
      </c>
    </row>
    <row r="16" spans="1:6">
      <c r="A16" s="48" t="s">
        <v>7</v>
      </c>
      <c r="B16" s="75">
        <v>43000</v>
      </c>
      <c r="C16" s="75">
        <f>+B16*1.02</f>
        <v>43860</v>
      </c>
      <c r="D16" s="75">
        <f t="shared" ref="D16:E16" si="1">+C16*1.02</f>
        <v>44737.200000000004</v>
      </c>
      <c r="E16" s="75">
        <f t="shared" si="1"/>
        <v>45631.944000000003</v>
      </c>
      <c r="F16" s="48" t="s">
        <v>118</v>
      </c>
    </row>
    <row r="17" spans="1:6">
      <c r="A17" s="48" t="s">
        <v>8</v>
      </c>
      <c r="B17" s="75">
        <v>64000</v>
      </c>
      <c r="C17" s="75">
        <v>64000</v>
      </c>
      <c r="D17" s="75">
        <v>64000</v>
      </c>
      <c r="E17" s="75">
        <v>64000</v>
      </c>
    </row>
    <row r="18" spans="1:6">
      <c r="A18" s="48" t="s">
        <v>90</v>
      </c>
      <c r="B18" s="75">
        <v>55000</v>
      </c>
      <c r="C18" s="75">
        <v>55000</v>
      </c>
      <c r="D18" s="75">
        <v>55000</v>
      </c>
      <c r="E18" s="75">
        <v>55000</v>
      </c>
    </row>
    <row r="19" spans="1:6">
      <c r="A19" s="48" t="s">
        <v>9</v>
      </c>
      <c r="B19" s="75">
        <v>12000</v>
      </c>
      <c r="C19" s="75">
        <f>+B19*1.02</f>
        <v>12240</v>
      </c>
      <c r="D19" s="75">
        <f t="shared" ref="D19:E19" si="2">+C19*1.02</f>
        <v>12484.800000000001</v>
      </c>
      <c r="E19" s="75">
        <f t="shared" si="2"/>
        <v>12734.496000000001</v>
      </c>
      <c r="F19" s="48" t="s">
        <v>118</v>
      </c>
    </row>
    <row r="20" spans="1:6">
      <c r="A20" s="48" t="s">
        <v>10</v>
      </c>
      <c r="B20" s="75">
        <v>820</v>
      </c>
      <c r="C20" s="75">
        <v>850</v>
      </c>
      <c r="D20" s="75">
        <v>850</v>
      </c>
      <c r="E20" s="75">
        <v>850</v>
      </c>
    </row>
    <row r="21" spans="1:6">
      <c r="A21" s="48" t="s">
        <v>11</v>
      </c>
      <c r="B21" s="75">
        <v>5800</v>
      </c>
      <c r="C21" s="75">
        <v>5800</v>
      </c>
      <c r="D21" s="75">
        <v>5800</v>
      </c>
      <c r="E21" s="75">
        <v>5800</v>
      </c>
    </row>
    <row r="22" spans="1:6">
      <c r="A22" s="48" t="s">
        <v>4</v>
      </c>
      <c r="B22" s="75">
        <v>4700</v>
      </c>
      <c r="C22" s="75">
        <v>5000</v>
      </c>
      <c r="D22" s="75">
        <v>5000</v>
      </c>
      <c r="E22" s="75">
        <v>5000</v>
      </c>
    </row>
    <row r="23" spans="1:6">
      <c r="A23" s="48" t="s">
        <v>91</v>
      </c>
      <c r="B23" s="77">
        <v>9381.65</v>
      </c>
      <c r="C23" s="81">
        <f>9381.65*1.03</f>
        <v>9663.0995000000003</v>
      </c>
      <c r="D23" s="77">
        <f>+C23*1.03</f>
        <v>9952.9924850000007</v>
      </c>
      <c r="E23" s="77">
        <f>+D23*1.03</f>
        <v>10251.582259550001</v>
      </c>
    </row>
    <row r="24" spans="1:6">
      <c r="B24" s="75">
        <f>SUM(B15:B23)</f>
        <v>283201.65000000002</v>
      </c>
      <c r="C24" s="75">
        <f>SUM(C15:C23)</f>
        <v>287613.09950000001</v>
      </c>
      <c r="D24" s="75">
        <f t="shared" ref="D24:E24" si="3">SUM(D15:D23)</f>
        <v>291724.992485</v>
      </c>
      <c r="E24" s="75">
        <f t="shared" si="3"/>
        <v>295868.02225954999</v>
      </c>
    </row>
    <row r="26" spans="1:6">
      <c r="A26" s="48" t="s">
        <v>116</v>
      </c>
      <c r="B26" s="75">
        <f>+B11+B24</f>
        <v>879090.42</v>
      </c>
      <c r="C26" s="75">
        <f t="shared" ref="C26:E26" si="4">+C11+C24</f>
        <v>901110.73756076465</v>
      </c>
      <c r="D26" s="75">
        <f t="shared" si="4"/>
        <v>931879.82631965471</v>
      </c>
      <c r="E26" s="75">
        <f t="shared" si="4"/>
        <v>966543.34105410473</v>
      </c>
    </row>
    <row r="28" spans="1:6">
      <c r="A28" s="48" t="s">
        <v>117</v>
      </c>
      <c r="B28" s="75">
        <f>1312270.42-433180</f>
        <v>879090.41999999993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6"/>
  <sheetViews>
    <sheetView workbookViewId="0">
      <selection activeCell="B9" sqref="B9"/>
    </sheetView>
  </sheetViews>
  <sheetFormatPr defaultRowHeight="12.75"/>
  <cols>
    <col min="1" max="1" width="26.140625" customWidth="1"/>
    <col min="2" max="3" width="14" customWidth="1"/>
    <col min="4" max="4" width="17" customWidth="1"/>
    <col min="5" max="9" width="15.140625" customWidth="1"/>
  </cols>
  <sheetData>
    <row r="2" spans="1:9" ht="18.75">
      <c r="A2" s="93" t="s">
        <v>84</v>
      </c>
      <c r="B2" s="93"/>
      <c r="C2" s="93"/>
      <c r="D2" s="93"/>
      <c r="E2" s="93"/>
    </row>
    <row r="4" spans="1:9" ht="15">
      <c r="A4" s="10" t="s">
        <v>2</v>
      </c>
    </row>
    <row r="6" spans="1:9" ht="14.25">
      <c r="A6" s="11" t="s">
        <v>55</v>
      </c>
      <c r="B6" s="39">
        <f>47/136</f>
        <v>0.34558823529411764</v>
      </c>
      <c r="C6" s="11"/>
      <c r="D6" s="11"/>
      <c r="E6" s="11"/>
    </row>
    <row r="7" spans="1:9" ht="15">
      <c r="A7" s="11"/>
      <c r="B7" s="39"/>
      <c r="C7" s="49" t="s">
        <v>56</v>
      </c>
      <c r="D7" s="50" t="s">
        <v>57</v>
      </c>
      <c r="E7" s="50" t="s">
        <v>58</v>
      </c>
      <c r="F7" s="50" t="s">
        <v>59</v>
      </c>
    </row>
    <row r="8" spans="1:9" ht="14.25">
      <c r="A8" s="11" t="s">
        <v>19</v>
      </c>
      <c r="B8" s="12" t="s">
        <v>93</v>
      </c>
      <c r="C8" s="11">
        <v>139</v>
      </c>
      <c r="D8" s="11">
        <f>+ROUND(+C8*1.02,0)</f>
        <v>142</v>
      </c>
      <c r="E8" s="11">
        <f t="shared" ref="E8:F8" si="0">+ROUND(+D8*1.02,0)</f>
        <v>145</v>
      </c>
      <c r="F8" s="11">
        <f t="shared" si="0"/>
        <v>148</v>
      </c>
    </row>
    <row r="9" spans="1:9" ht="14.25">
      <c r="A9" s="11" t="s">
        <v>20</v>
      </c>
      <c r="B9" s="39">
        <f>+C9/$C$8</f>
        <v>0.20863309352517986</v>
      </c>
      <c r="C9" s="11">
        <v>29</v>
      </c>
      <c r="D9" s="11">
        <f>+ROUND($D$8*B9,0)</f>
        <v>30</v>
      </c>
      <c r="E9" s="11">
        <f>+ROUND($E$8*B9,0)</f>
        <v>30</v>
      </c>
      <c r="F9" s="11">
        <f>+ROUND($F$8*B9,0)</f>
        <v>31</v>
      </c>
    </row>
    <row r="10" spans="1:9" ht="14.25">
      <c r="A10" s="11" t="s">
        <v>21</v>
      </c>
      <c r="B10" s="39">
        <f>+C10/$C$8</f>
        <v>0.60431654676258995</v>
      </c>
      <c r="C10" s="11">
        <v>84</v>
      </c>
      <c r="D10" s="11">
        <f>+ROUND($D$8*B10,0)-1</f>
        <v>85</v>
      </c>
      <c r="E10" s="11">
        <f>+ROUND($E$8*B10,0)</f>
        <v>88</v>
      </c>
      <c r="F10" s="11">
        <f>+ROUND($F$8*B10,0)</f>
        <v>89</v>
      </c>
    </row>
    <row r="11" spans="1:9" ht="14.25">
      <c r="A11" s="11" t="s">
        <v>22</v>
      </c>
      <c r="B11" s="39">
        <f>+C11/$C$8</f>
        <v>0.18705035971223022</v>
      </c>
      <c r="C11" s="11">
        <v>26</v>
      </c>
      <c r="D11" s="11">
        <f>+ROUND($D$8*B11,0)</f>
        <v>27</v>
      </c>
      <c r="E11" s="11">
        <f>+ROUND($E$8*B11,0)</f>
        <v>27</v>
      </c>
      <c r="F11" s="11">
        <f>+ROUND($F$8*B11,0)</f>
        <v>28</v>
      </c>
    </row>
    <row r="12" spans="1:9" ht="14.25">
      <c r="A12" s="11"/>
      <c r="B12" s="11"/>
      <c r="C12" s="11"/>
      <c r="D12" s="11"/>
      <c r="E12" s="11"/>
    </row>
    <row r="13" spans="1:9" ht="14.25">
      <c r="A13" s="11"/>
      <c r="B13" s="11" t="s">
        <v>107</v>
      </c>
      <c r="C13" s="11" t="s">
        <v>108</v>
      </c>
      <c r="D13" s="11" t="s">
        <v>109</v>
      </c>
      <c r="E13" s="11"/>
    </row>
    <row r="14" spans="1:9" ht="14.25">
      <c r="A14" s="11" t="s">
        <v>85</v>
      </c>
      <c r="B14" s="39">
        <v>0.04</v>
      </c>
      <c r="C14" s="39">
        <v>0.03</v>
      </c>
      <c r="D14" s="39">
        <v>0.03</v>
      </c>
      <c r="E14" s="11" t="s">
        <v>110</v>
      </c>
    </row>
    <row r="15" spans="1:9" ht="14.25">
      <c r="A15" s="11"/>
      <c r="B15" s="11"/>
      <c r="C15" s="11"/>
      <c r="D15" s="11"/>
      <c r="E15" s="11"/>
    </row>
    <row r="16" spans="1:9" ht="15">
      <c r="A16" s="11" t="s">
        <v>23</v>
      </c>
      <c r="B16" s="92" t="s">
        <v>56</v>
      </c>
      <c r="C16" s="92"/>
      <c r="D16" s="91" t="s">
        <v>57</v>
      </c>
      <c r="E16" s="91"/>
      <c r="F16" s="91" t="s">
        <v>58</v>
      </c>
      <c r="G16" s="91"/>
      <c r="H16" s="91" t="s">
        <v>59</v>
      </c>
      <c r="I16" s="91"/>
    </row>
    <row r="17" spans="1:9" ht="14.25">
      <c r="A17" s="11"/>
      <c r="B17" s="13" t="s">
        <v>24</v>
      </c>
      <c r="C17" s="13" t="s">
        <v>25</v>
      </c>
      <c r="D17" s="13" t="s">
        <v>24</v>
      </c>
      <c r="E17" s="13" t="s">
        <v>25</v>
      </c>
      <c r="F17" s="13" t="s">
        <v>24</v>
      </c>
      <c r="G17" s="13" t="s">
        <v>25</v>
      </c>
      <c r="H17" s="13" t="s">
        <v>24</v>
      </c>
      <c r="I17" s="13" t="s">
        <v>25</v>
      </c>
    </row>
    <row r="18" spans="1:9" ht="14.25">
      <c r="A18" s="11" t="s">
        <v>26</v>
      </c>
      <c r="B18" s="12">
        <v>822</v>
      </c>
      <c r="C18" s="12">
        <v>963</v>
      </c>
      <c r="D18" s="12">
        <f>+ROUND(+B18*(1+$B$14),0)</f>
        <v>855</v>
      </c>
      <c r="E18" s="12">
        <f t="shared" ref="E18:E20" si="1">+ROUND(+C18*(1+$E$16),0)</f>
        <v>963</v>
      </c>
      <c r="F18" s="12">
        <f>+ROUND(+D18*(1+$C$14),0)</f>
        <v>881</v>
      </c>
      <c r="G18" s="12">
        <f t="shared" ref="G18:G20" si="2">+ROUND(+E18*(1+$E$16),0)</f>
        <v>963</v>
      </c>
      <c r="H18" s="12">
        <f>+ROUND(+F18*(1+$D$14),0)</f>
        <v>907</v>
      </c>
      <c r="I18" s="12">
        <f t="shared" ref="I18:I20" si="3">+ROUND(+G18*(1+$E$16),0)</f>
        <v>963</v>
      </c>
    </row>
    <row r="19" spans="1:9" ht="14.25">
      <c r="A19" s="11" t="s">
        <v>27</v>
      </c>
      <c r="B19" s="12">
        <v>1082</v>
      </c>
      <c r="C19" s="12">
        <v>1272</v>
      </c>
      <c r="D19" s="12">
        <f>+ROUND(+B19*(1+$B$14),0)</f>
        <v>1125</v>
      </c>
      <c r="E19" s="12">
        <f t="shared" si="1"/>
        <v>1272</v>
      </c>
      <c r="F19" s="12">
        <f>+ROUND(+D19*(1+$C$14),0)</f>
        <v>1159</v>
      </c>
      <c r="G19" s="12">
        <f t="shared" si="2"/>
        <v>1272</v>
      </c>
      <c r="H19" s="12">
        <f>+ROUND(+F19*(1+$D$14),0)</f>
        <v>1194</v>
      </c>
      <c r="I19" s="12">
        <f t="shared" si="3"/>
        <v>1272</v>
      </c>
    </row>
    <row r="20" spans="1:9" ht="14.25">
      <c r="A20" s="11" t="s">
        <v>28</v>
      </c>
      <c r="B20" s="12">
        <v>1468</v>
      </c>
      <c r="C20" s="12">
        <v>1906</v>
      </c>
      <c r="D20" s="12">
        <f>+ROUND(+B20*(1+$B$14),0)</f>
        <v>1527</v>
      </c>
      <c r="E20" s="12">
        <f t="shared" si="1"/>
        <v>1906</v>
      </c>
      <c r="F20" s="12">
        <f>+ROUND(+D20*(1+$C$14),0)</f>
        <v>1573</v>
      </c>
      <c r="G20" s="12">
        <f t="shared" si="2"/>
        <v>1906</v>
      </c>
      <c r="H20" s="12">
        <f>+ROUND(+F20*(1+$D$14),0)</f>
        <v>1620</v>
      </c>
      <c r="I20" s="12">
        <f t="shared" si="3"/>
        <v>1906</v>
      </c>
    </row>
    <row r="21" spans="1:9" ht="14.25">
      <c r="A21" s="11"/>
    </row>
    <row r="22" spans="1:9" ht="14.25">
      <c r="A22" s="11" t="s">
        <v>46</v>
      </c>
      <c r="C22" s="12">
        <v>100</v>
      </c>
      <c r="E22" s="12">
        <v>125</v>
      </c>
      <c r="G22" s="12">
        <v>125</v>
      </c>
      <c r="I22" s="12">
        <v>125</v>
      </c>
    </row>
    <row r="24" spans="1:9" ht="14.25">
      <c r="A24" s="14" t="s">
        <v>29</v>
      </c>
    </row>
    <row r="25" spans="1:9" ht="14.25">
      <c r="A25" s="11" t="s">
        <v>47</v>
      </c>
      <c r="C25" s="12">
        <f>+C8*$C$22</f>
        <v>13900</v>
      </c>
      <c r="E25" s="12">
        <f>+D8*$C$22</f>
        <v>14200</v>
      </c>
      <c r="G25" s="12">
        <f>+E8*$C$22</f>
        <v>14500</v>
      </c>
      <c r="I25" s="12">
        <f>+F8*$C$22</f>
        <v>14800</v>
      </c>
    </row>
    <row r="26" spans="1:9" ht="14.25">
      <c r="A26" s="11"/>
      <c r="C26" s="12"/>
      <c r="E26" s="12"/>
    </row>
    <row r="27" spans="1:9" ht="14.25">
      <c r="A27" s="11" t="s">
        <v>30</v>
      </c>
      <c r="C27" s="12">
        <f>(+$C$9*$B$6*B18)+$C$9*(1-$B$6)*C18</f>
        <v>26513.88970588235</v>
      </c>
      <c r="E27" s="12">
        <f>(+$D$9*$B$6*D18)+$D$9*(1-$B$6)*E18</f>
        <v>27770.294117647056</v>
      </c>
      <c r="G27" s="12">
        <f>(+$E$9*$B$6*F18)+$E$9*(1-$B$6)*G18</f>
        <v>28039.852941176468</v>
      </c>
      <c r="I27" s="12">
        <f>(+$F$9*$B$6*H18)+$F$9*(1-$B$6)*I18</f>
        <v>29253.058823529409</v>
      </c>
    </row>
    <row r="28" spans="1:9" ht="14.25">
      <c r="A28" s="11" t="s">
        <v>31</v>
      </c>
      <c r="C28" s="12">
        <f>(+$C$10*$B$6*B19)+$C$10*(1-$B$6)*C19</f>
        <v>101332.41176470587</v>
      </c>
      <c r="E28" s="12">
        <f>(+$D$10*$B$6*D19)+$D$10*(1-$B$6)*E19</f>
        <v>103801.875</v>
      </c>
      <c r="G28" s="12">
        <f>(+$E$10*$B$6*F19)+$E$10*(1-$B$6)*G19</f>
        <v>108499.4705882353</v>
      </c>
      <c r="I28" s="12">
        <f>(+$F$10*$B$6*H19)+$F$10*(1-$B$6)*I19</f>
        <v>110808.92647058822</v>
      </c>
    </row>
    <row r="29" spans="1:9" ht="14.25">
      <c r="A29" s="11" t="s">
        <v>28</v>
      </c>
      <c r="C29" s="15">
        <f>(+$C$11*$B$6*B20)+$C$11*(1-$B$6)*C20</f>
        <v>45620.441176470587</v>
      </c>
      <c r="E29" s="15">
        <f>(+$D$11*$B$6*D20)+$D$11*(1-$B$6)*E20</f>
        <v>47925.595588235294</v>
      </c>
      <c r="G29" s="15">
        <f>(+$E$11*$B$6*F20)+$E$11*(1-$B$6)*G20</f>
        <v>48354.816176470587</v>
      </c>
      <c r="I29" s="15">
        <f>(+$F$11*$B$6*H20)+$F$11*(1-$B$6)*I20</f>
        <v>50600.529411764706</v>
      </c>
    </row>
    <row r="30" spans="1:9" ht="14.25">
      <c r="A30" s="11"/>
    </row>
    <row r="31" spans="1:9" ht="15">
      <c r="A31" s="16" t="s">
        <v>12</v>
      </c>
      <c r="C31" s="17">
        <f>SUM(C27:C30)</f>
        <v>173466.7426470588</v>
      </c>
      <c r="E31" s="17">
        <f>SUM(E27:E30)</f>
        <v>179497.76470588235</v>
      </c>
      <c r="F31" s="36"/>
      <c r="G31" s="17">
        <f>SUM(G27:G30)</f>
        <v>184894.13970588235</v>
      </c>
      <c r="I31" s="17">
        <f>SUM(I27:I30)</f>
        <v>190662.51470588232</v>
      </c>
    </row>
    <row r="32" spans="1:9">
      <c r="F32" s="36"/>
    </row>
    <row r="33" spans="1:9" ht="14.25">
      <c r="A33" s="11" t="s">
        <v>87</v>
      </c>
      <c r="C33" s="12">
        <f>+(C31)*-0.02*0.33</f>
        <v>-1144.8805014705881</v>
      </c>
      <c r="E33" s="12">
        <f>+(E31)*-0.02*0.33</f>
        <v>-1184.6852470588235</v>
      </c>
      <c r="G33" s="12">
        <f>+(G31)*-0.02*0.33</f>
        <v>-1220.3013220588234</v>
      </c>
      <c r="I33" s="12">
        <f>+(I31)*-0.02*0.33</f>
        <v>-1258.3725970588234</v>
      </c>
    </row>
    <row r="34" spans="1:9" ht="14.25">
      <c r="A34" s="11" t="s">
        <v>48</v>
      </c>
      <c r="C34" s="15">
        <f>+(C31)*-0.01</f>
        <v>-1734.667426470588</v>
      </c>
      <c r="E34" s="15">
        <f>+(E31)*-0.01</f>
        <v>-1794.9776470588235</v>
      </c>
      <c r="G34" s="15">
        <f>+(G31)*-0.01</f>
        <v>-1848.9413970588234</v>
      </c>
      <c r="I34" s="15">
        <f>+(I31)*-0.01</f>
        <v>-1906.6251470588231</v>
      </c>
    </row>
    <row r="35" spans="1:9" ht="14.25">
      <c r="A35" s="11"/>
      <c r="E35" s="20"/>
      <c r="G35" s="20"/>
      <c r="I35" s="20"/>
    </row>
    <row r="36" spans="1:9" ht="15">
      <c r="A36" s="16" t="s">
        <v>86</v>
      </c>
      <c r="C36" s="17">
        <f>+C31+C33+C34</f>
        <v>170587.19471911763</v>
      </c>
      <c r="E36" s="17">
        <f>+E31+E33+E34</f>
        <v>176518.1018117647</v>
      </c>
      <c r="G36" s="17">
        <f>+G31+G33+G34</f>
        <v>181824.89698676468</v>
      </c>
      <c r="I36" s="17">
        <f>+I31+I33+I34</f>
        <v>187497.51696176466</v>
      </c>
    </row>
  </sheetData>
  <mergeCells count="5">
    <mergeCell ref="H16:I16"/>
    <mergeCell ref="B16:C16"/>
    <mergeCell ref="A2:E2"/>
    <mergeCell ref="D16:E16"/>
    <mergeCell ref="F16:G16"/>
  </mergeCells>
  <pageMargins left="0.7" right="0.7" top="0.75" bottom="0.75" header="0.3" footer="0.3"/>
  <pageSetup orientation="portrait" r:id="rId1"/>
  <ignoredErrors>
    <ignoredError sqref="D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O21"/>
  <sheetViews>
    <sheetView workbookViewId="0">
      <selection activeCell="E9" sqref="E9"/>
    </sheetView>
  </sheetViews>
  <sheetFormatPr defaultRowHeight="12.75"/>
  <cols>
    <col min="1" max="1" width="20.5703125" customWidth="1"/>
    <col min="2" max="5" width="13.140625" customWidth="1"/>
    <col min="6" max="6" width="10.42578125" customWidth="1"/>
    <col min="7" max="7" width="12.85546875" customWidth="1"/>
    <col min="8" max="8" width="7.42578125" customWidth="1"/>
    <col min="9" max="9" width="13.42578125" customWidth="1"/>
  </cols>
  <sheetData>
    <row r="2" spans="1:14" ht="18.75">
      <c r="A2" s="69" t="s">
        <v>67</v>
      </c>
      <c r="B2" s="69"/>
      <c r="C2" s="69"/>
      <c r="D2" s="43"/>
    </row>
    <row r="3" spans="1:14">
      <c r="N3" s="68">
        <v>0.03</v>
      </c>
    </row>
    <row r="4" spans="1:14">
      <c r="A4" s="48" t="s">
        <v>68</v>
      </c>
      <c r="B4" s="76">
        <v>0.03</v>
      </c>
      <c r="L4" s="48"/>
      <c r="N4" s="68"/>
    </row>
    <row r="5" spans="1:14">
      <c r="A5" s="48"/>
      <c r="B5" s="76"/>
      <c r="L5" s="48"/>
      <c r="N5" s="68"/>
    </row>
    <row r="6" spans="1:14" ht="14.25">
      <c r="A6" s="48"/>
      <c r="B6" s="47" t="s">
        <v>56</v>
      </c>
      <c r="C6" s="47" t="s">
        <v>57</v>
      </c>
      <c r="D6" s="47" t="s">
        <v>58</v>
      </c>
      <c r="E6" s="47" t="s">
        <v>59</v>
      </c>
      <c r="L6" s="48"/>
      <c r="N6" s="68"/>
    </row>
    <row r="7" spans="1:14" ht="14.25">
      <c r="B7" s="44" t="s">
        <v>34</v>
      </c>
      <c r="C7" s="44" t="s">
        <v>34</v>
      </c>
      <c r="D7" s="44" t="s">
        <v>34</v>
      </c>
      <c r="E7" s="44" t="s">
        <v>34</v>
      </c>
      <c r="L7" s="48"/>
      <c r="N7" s="68"/>
    </row>
    <row r="8" spans="1:14" ht="14.25">
      <c r="B8" s="13" t="s">
        <v>36</v>
      </c>
      <c r="C8" s="13" t="s">
        <v>36</v>
      </c>
      <c r="D8" s="13" t="s">
        <v>36</v>
      </c>
      <c r="E8" s="13" t="s">
        <v>36</v>
      </c>
      <c r="L8" s="48"/>
      <c r="N8" s="68"/>
    </row>
    <row r="9" spans="1:14" ht="14.25">
      <c r="B9" s="22">
        <v>13</v>
      </c>
      <c r="C9" s="22">
        <f>+B9*(1+$N$3)</f>
        <v>13.39</v>
      </c>
      <c r="D9" s="22">
        <f t="shared" ref="D9:E9" si="0">+C9*(1+$N$3)</f>
        <v>13.791700000000001</v>
      </c>
      <c r="E9" s="22">
        <f t="shared" si="0"/>
        <v>14.205451</v>
      </c>
      <c r="L9" s="48"/>
      <c r="N9" s="68"/>
    </row>
    <row r="10" spans="1:14">
      <c r="L10" s="48"/>
      <c r="N10" s="68"/>
    </row>
    <row r="11" spans="1:14">
      <c r="L11" s="48"/>
      <c r="N11" s="68"/>
    </row>
    <row r="12" spans="1:14">
      <c r="L12" s="48"/>
      <c r="N12" s="68"/>
    </row>
    <row r="13" spans="1:14" ht="15">
      <c r="A13" s="10" t="s">
        <v>2</v>
      </c>
    </row>
    <row r="14" spans="1:14" ht="14.25">
      <c r="A14" s="11"/>
      <c r="B14" s="47" t="s">
        <v>56</v>
      </c>
      <c r="C14" s="47" t="s">
        <v>57</v>
      </c>
      <c r="D14" s="47" t="s">
        <v>58</v>
      </c>
      <c r="E14" s="47" t="s">
        <v>59</v>
      </c>
      <c r="F14" s="47"/>
      <c r="G14" s="47"/>
      <c r="H14" s="47"/>
      <c r="I14" s="47"/>
    </row>
    <row r="15" spans="1:14" ht="14.25">
      <c r="A15" s="11"/>
      <c r="B15" s="13" t="s">
        <v>35</v>
      </c>
      <c r="C15" s="13" t="s">
        <v>35</v>
      </c>
      <c r="D15" s="13" t="s">
        <v>35</v>
      </c>
      <c r="E15" s="13" t="s">
        <v>35</v>
      </c>
    </row>
    <row r="16" spans="1:14" ht="14.25">
      <c r="A16" s="11" t="s">
        <v>37</v>
      </c>
      <c r="B16" s="11">
        <f>9+1+13+4+13+2</f>
        <v>42</v>
      </c>
      <c r="C16" s="11">
        <f>9+1+13+4+13+2</f>
        <v>42</v>
      </c>
      <c r="D16" s="11">
        <f>9+1+13+4+13+2</f>
        <v>42</v>
      </c>
      <c r="E16" s="11">
        <f>9+1+13+4+13+2</f>
        <v>42</v>
      </c>
    </row>
    <row r="17" spans="1:15" ht="14.25">
      <c r="A17" s="11" t="s">
        <v>38</v>
      </c>
      <c r="B17" s="18">
        <v>4</v>
      </c>
      <c r="C17" s="18">
        <v>4</v>
      </c>
      <c r="D17" s="18">
        <v>4</v>
      </c>
      <c r="E17" s="18">
        <v>4</v>
      </c>
      <c r="L17" s="22"/>
      <c r="M17" s="22"/>
      <c r="N17" s="22"/>
      <c r="O17" s="22"/>
    </row>
    <row r="18" spans="1:15" ht="14.25">
      <c r="A18" s="11"/>
      <c r="B18" s="11">
        <f>SUM(B16:B17)</f>
        <v>46</v>
      </c>
      <c r="C18" s="11">
        <f>SUM(C16:C17)</f>
        <v>46</v>
      </c>
      <c r="D18" s="11">
        <f>SUM(D16:D17)</f>
        <v>46</v>
      </c>
      <c r="E18" s="11">
        <f>SUM(E16:E17)</f>
        <v>46</v>
      </c>
    </row>
    <row r="19" spans="1:15" ht="14.25">
      <c r="A19" s="11"/>
      <c r="B19" s="11"/>
      <c r="C19" s="11"/>
      <c r="D19" s="11"/>
      <c r="E19" s="12"/>
      <c r="H19" s="11"/>
    </row>
    <row r="20" spans="1:15" ht="15" thickBot="1">
      <c r="A20" s="11" t="s">
        <v>12</v>
      </c>
      <c r="B20" s="21">
        <f>+B18*B9*150</f>
        <v>89700</v>
      </c>
      <c r="C20" s="21">
        <f>+C18*C9*150</f>
        <v>92391.000000000015</v>
      </c>
      <c r="D20" s="21">
        <f>+D18*D9*150</f>
        <v>95162.73000000001</v>
      </c>
      <c r="E20" s="21">
        <f>+E18*E9*150</f>
        <v>98017.611900000004</v>
      </c>
    </row>
    <row r="21" spans="1:15" ht="13.5" thickTop="1"/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0"/>
  <sheetViews>
    <sheetView workbookViewId="0">
      <selection activeCell="F6" sqref="F6"/>
    </sheetView>
  </sheetViews>
  <sheetFormatPr defaultRowHeight="12.75"/>
  <cols>
    <col min="1" max="1" width="24.7109375" customWidth="1"/>
    <col min="2" max="2" width="2.7109375" customWidth="1"/>
    <col min="3" max="3" width="15.7109375" customWidth="1"/>
    <col min="4" max="4" width="13.140625" customWidth="1"/>
    <col min="5" max="5" width="14" customWidth="1"/>
    <col min="6" max="6" width="12.85546875" customWidth="1"/>
  </cols>
  <sheetData>
    <row r="2" spans="1:6" ht="18.75">
      <c r="A2" s="93" t="s">
        <v>66</v>
      </c>
      <c r="B2" s="93"/>
      <c r="C2" s="93"/>
    </row>
    <row r="4" spans="1:6" ht="15">
      <c r="A4" s="10" t="s">
        <v>2</v>
      </c>
      <c r="B4" s="11"/>
      <c r="C4" s="66">
        <v>0.91666666666666663</v>
      </c>
      <c r="D4" s="66">
        <v>0.92307692307692313</v>
      </c>
      <c r="E4" s="66" t="s">
        <v>58</v>
      </c>
      <c r="F4" s="66" t="s">
        <v>59</v>
      </c>
    </row>
    <row r="5" spans="1:6" ht="14.25">
      <c r="A5" s="11"/>
      <c r="D5" s="12"/>
    </row>
    <row r="6" spans="1:6" ht="14.25">
      <c r="A6" s="11" t="s">
        <v>32</v>
      </c>
      <c r="C6" s="11">
        <v>2.95</v>
      </c>
      <c r="D6" s="12">
        <v>3.04</v>
      </c>
      <c r="E6" s="12">
        <v>3.13</v>
      </c>
      <c r="F6" s="12">
        <v>3.22</v>
      </c>
    </row>
    <row r="7" spans="1:6" ht="14.25">
      <c r="A7" s="11"/>
      <c r="C7" s="19"/>
      <c r="D7" s="67">
        <f>+(+D6-C6)/C6</f>
        <v>3.0508474576271136E-2</v>
      </c>
      <c r="E7" s="67">
        <f>+(+E6-D6)/D6</f>
        <v>2.960526315789469E-2</v>
      </c>
      <c r="F7" s="67">
        <f>+(+F6-E6)/E6</f>
        <v>2.8753993610223738E-2</v>
      </c>
    </row>
    <row r="8" spans="1:6" ht="14.25">
      <c r="A8" s="11" t="s">
        <v>33</v>
      </c>
      <c r="C8" s="20"/>
      <c r="D8" s="12"/>
    </row>
    <row r="9" spans="1:6" ht="15" thickBot="1">
      <c r="A9" s="12">
        <v>30000</v>
      </c>
      <c r="C9" s="21">
        <f>+A9*C6</f>
        <v>88500</v>
      </c>
      <c r="D9" s="21">
        <f>+D6*$A$9</f>
        <v>91200</v>
      </c>
      <c r="E9" s="21">
        <f t="shared" ref="E9:F9" si="0">+E6*$A$9</f>
        <v>93900</v>
      </c>
      <c r="F9" s="21">
        <f t="shared" si="0"/>
        <v>96600</v>
      </c>
    </row>
    <row r="10" spans="1:6" ht="15" thickTop="1">
      <c r="A10" s="11"/>
      <c r="B10" s="11"/>
      <c r="C10" s="20"/>
      <c r="D10" s="12"/>
    </row>
  </sheetData>
  <mergeCells count="1">
    <mergeCell ref="A2:C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3"/>
  <sheetViews>
    <sheetView workbookViewId="0">
      <selection activeCell="G9" sqref="G9"/>
    </sheetView>
  </sheetViews>
  <sheetFormatPr defaultRowHeight="12.75"/>
  <cols>
    <col min="1" max="1" width="25.85546875" customWidth="1"/>
    <col min="2" max="2" width="10.5703125" customWidth="1"/>
    <col min="3" max="3" width="6.5703125" customWidth="1"/>
    <col min="4" max="4" width="16.140625" customWidth="1"/>
    <col min="5" max="5" width="6.28515625" customWidth="1"/>
    <col min="6" max="6" width="13.42578125" customWidth="1"/>
    <col min="7" max="7" width="6.42578125" customWidth="1"/>
    <col min="8" max="8" width="11.140625" customWidth="1"/>
    <col min="9" max="9" width="3.7109375" customWidth="1"/>
    <col min="10" max="10" width="14.85546875" customWidth="1"/>
    <col min="11" max="11" width="10" bestFit="1" customWidth="1"/>
    <col min="13" max="13" width="12" bestFit="1" customWidth="1"/>
  </cols>
  <sheetData>
    <row r="2" spans="1:8" ht="15.75">
      <c r="A2" s="65" t="s">
        <v>65</v>
      </c>
      <c r="B2" s="65"/>
      <c r="D2" s="40"/>
    </row>
    <row r="3" spans="1:8">
      <c r="A3" s="48" t="s">
        <v>113</v>
      </c>
      <c r="B3" s="48"/>
    </row>
    <row r="5" spans="1:8">
      <c r="B5" s="51" t="s">
        <v>114</v>
      </c>
      <c r="C5" s="62" t="s">
        <v>57</v>
      </c>
      <c r="D5" s="29" t="s">
        <v>29</v>
      </c>
      <c r="E5" s="62" t="s">
        <v>58</v>
      </c>
      <c r="F5" s="29" t="s">
        <v>29</v>
      </c>
      <c r="G5" s="63" t="s">
        <v>59</v>
      </c>
      <c r="H5" s="29" t="s">
        <v>29</v>
      </c>
    </row>
    <row r="6" spans="1:8">
      <c r="A6" t="s">
        <v>40</v>
      </c>
      <c r="B6">
        <v>17</v>
      </c>
      <c r="C6">
        <f>+ROUND(+B6*1.03,0)</f>
        <v>18</v>
      </c>
      <c r="D6" s="53">
        <f>+C6*'K-8 Tuition Rates'!D8</f>
        <v>39528</v>
      </c>
      <c r="E6">
        <f>+ROUND(C6*1.03,0)</f>
        <v>19</v>
      </c>
      <c r="F6" s="53">
        <f>+E6*'K-8 Tuition Rates'!E8</f>
        <v>42976.1</v>
      </c>
      <c r="G6">
        <f>+ROUND(E6*1.03,0)</f>
        <v>20</v>
      </c>
      <c r="H6" s="53">
        <f>+G6*'K-8 Tuition Rates'!F8</f>
        <v>46596</v>
      </c>
    </row>
    <row r="7" spans="1:8">
      <c r="A7" t="s">
        <v>41</v>
      </c>
      <c r="B7">
        <f>11+17+17+13+11</f>
        <v>69</v>
      </c>
      <c r="C7">
        <f>+ROUND(+B7*1.03,0)</f>
        <v>71</v>
      </c>
      <c r="D7" s="53">
        <f>+C7*'K-8 Tuition Rates'!D9</f>
        <v>155916</v>
      </c>
      <c r="E7">
        <f>+ROUND(C7*1.03,0)</f>
        <v>73</v>
      </c>
      <c r="F7" s="53">
        <f>+E7*'K-8 Tuition Rates'!E9</f>
        <v>165118.70000000001</v>
      </c>
      <c r="G7">
        <f>+ROUND(E7*1.03,0)</f>
        <v>75</v>
      </c>
      <c r="H7" s="53">
        <f>+G7*'K-8 Tuition Rates'!F9</f>
        <v>174735</v>
      </c>
    </row>
    <row r="8" spans="1:8">
      <c r="A8" t="s">
        <v>42</v>
      </c>
      <c r="B8" s="52">
        <f>18+22+11</f>
        <v>51</v>
      </c>
      <c r="C8" s="52">
        <f>+ROUND(+B8*1.03,0)</f>
        <v>53</v>
      </c>
      <c r="D8" s="54">
        <f>+C8*'K-8 Tuition Rates'!D10</f>
        <v>125186</v>
      </c>
      <c r="E8" s="52">
        <f>+ROUND(C8*1.03,0)</f>
        <v>55</v>
      </c>
      <c r="F8" s="54">
        <f>+E8*'K-8 Tuition Rates'!E10</f>
        <v>133809.5</v>
      </c>
      <c r="G8">
        <f>+ROUND(E8*1.03,0)</f>
        <v>57</v>
      </c>
      <c r="H8" s="54">
        <f>+G8*'K-8 Tuition Rates'!F10</f>
        <v>142836.30000000002</v>
      </c>
    </row>
    <row r="9" spans="1:8">
      <c r="A9" t="s">
        <v>62</v>
      </c>
      <c r="B9">
        <f>SUM(B6:B8)</f>
        <v>137</v>
      </c>
      <c r="C9">
        <f>SUM(C6:C8)</f>
        <v>142</v>
      </c>
      <c r="D9" s="55">
        <f>SUM(D6:D8)</f>
        <v>320630</v>
      </c>
      <c r="E9" s="64">
        <f t="shared" ref="E9:H9" si="0">SUM(E6:E8)</f>
        <v>147</v>
      </c>
      <c r="F9" s="55">
        <f t="shared" si="0"/>
        <v>341904.30000000005</v>
      </c>
      <c r="G9" s="64">
        <f t="shared" si="0"/>
        <v>152</v>
      </c>
      <c r="H9" s="55">
        <f t="shared" si="0"/>
        <v>364167.30000000005</v>
      </c>
    </row>
    <row r="10" spans="1:8">
      <c r="A10" t="s">
        <v>60</v>
      </c>
      <c r="C10" s="60">
        <v>4.4999999999999998E-2</v>
      </c>
      <c r="D10" s="61">
        <f>+D9*$C$10</f>
        <v>14428.35</v>
      </c>
      <c r="F10" s="61">
        <f>+F9*$C$10</f>
        <v>15385.693500000001</v>
      </c>
      <c r="H10" s="61">
        <f>+H9*$C$10</f>
        <v>16387.5285</v>
      </c>
    </row>
    <row r="11" spans="1:8">
      <c r="D11" s="55">
        <f>+D9+D10</f>
        <v>335058.34999999998</v>
      </c>
      <c r="F11" s="55">
        <f>SUM(F9:F10)</f>
        <v>357289.99350000004</v>
      </c>
      <c r="H11" s="55">
        <f>SUM(H9:H10)</f>
        <v>380554.82850000006</v>
      </c>
    </row>
    <row r="13" spans="1:8">
      <c r="A13" t="s">
        <v>61</v>
      </c>
      <c r="C13" s="56">
        <v>9.0999999999999998E-2</v>
      </c>
      <c r="D13" s="57">
        <f>-D11*$C$13</f>
        <v>-30490.309849999998</v>
      </c>
      <c r="F13" s="57">
        <f>-F11*$C$13</f>
        <v>-32513.389408500003</v>
      </c>
      <c r="H13" s="57">
        <f>-H11*$C$13</f>
        <v>-34630.489393500007</v>
      </c>
    </row>
    <row r="14" spans="1:8">
      <c r="A14" s="48" t="s">
        <v>64</v>
      </c>
      <c r="B14" s="48"/>
      <c r="C14" s="56">
        <v>0.02</v>
      </c>
      <c r="D14" s="57">
        <f>-D11*$C$14*0.3</f>
        <v>-2010.3500999999997</v>
      </c>
      <c r="F14" s="57">
        <f>-F11*$C$14*0.3</f>
        <v>-2143.7399610000002</v>
      </c>
      <c r="H14" s="57">
        <f>-H11*$C$14*0.3</f>
        <v>-2283.3289710000004</v>
      </c>
    </row>
    <row r="15" spans="1:8">
      <c r="A15" t="s">
        <v>49</v>
      </c>
      <c r="C15" s="56">
        <v>0.02</v>
      </c>
      <c r="D15" s="58">
        <f>+(D11+D13+D14)*-$C$15</f>
        <v>-6051.1538009999995</v>
      </c>
      <c r="F15" s="58">
        <f>+(F11+F13+F14)*-$C$15</f>
        <v>-6452.6572826100019</v>
      </c>
      <c r="H15" s="58">
        <f>+(H11+H13+H14)*-$C$15</f>
        <v>-6872.8202027100015</v>
      </c>
    </row>
    <row r="16" spans="1:8">
      <c r="C16" s="56"/>
      <c r="D16" s="57"/>
      <c r="F16" s="57"/>
      <c r="H16" s="57"/>
    </row>
    <row r="17" spans="1:8" ht="13.5" thickBot="1">
      <c r="A17" s="48" t="s">
        <v>63</v>
      </c>
      <c r="B17" s="48"/>
      <c r="C17" s="56"/>
      <c r="D17" s="59">
        <f>+D11+D13+D14+D15</f>
        <v>296506.536249</v>
      </c>
      <c r="F17" s="59">
        <f>+F11+F13+F14+F15</f>
        <v>316180.20684789005</v>
      </c>
      <c r="H17" s="59">
        <f>+H11+H13+H14+H15</f>
        <v>336768.18993279006</v>
      </c>
    </row>
    <row r="18" spans="1:8" ht="13.5" thickTop="1">
      <c r="F18" s="23"/>
    </row>
    <row r="19" spans="1:8">
      <c r="F19" s="23"/>
    </row>
    <row r="20" spans="1:8">
      <c r="A20" t="s">
        <v>44</v>
      </c>
    </row>
    <row r="21" spans="1:8">
      <c r="A21" s="33">
        <v>125</v>
      </c>
      <c r="B21" s="33"/>
      <c r="D21" s="33">
        <f>+C9*$A$21</f>
        <v>17750</v>
      </c>
      <c r="F21" s="33">
        <f>+E9*$A$21</f>
        <v>18375</v>
      </c>
      <c r="H21" s="33">
        <f>+G9*$A$21</f>
        <v>19000</v>
      </c>
    </row>
    <row r="22" spans="1:8">
      <c r="A22" t="s">
        <v>45</v>
      </c>
    </row>
    <row r="23" spans="1:8">
      <c r="A23" s="33">
        <v>150</v>
      </c>
      <c r="B23" s="33"/>
      <c r="D23" s="33">
        <f>+C9*0.64*$A$23</f>
        <v>13632</v>
      </c>
      <c r="F23" s="33">
        <f>+E9*0.64*$A$23</f>
        <v>14112</v>
      </c>
      <c r="H23" s="33">
        <f>+G9*0.64*$A$23</f>
        <v>14592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2"/>
  <sheetViews>
    <sheetView workbookViewId="0">
      <selection activeCell="D7" sqref="D7"/>
    </sheetView>
  </sheetViews>
  <sheetFormatPr defaultRowHeight="12.75"/>
  <cols>
    <col min="1" max="1" width="18.85546875" customWidth="1"/>
    <col min="2" max="2" width="4.7109375" customWidth="1"/>
    <col min="3" max="8" width="12.7109375" customWidth="1"/>
  </cols>
  <sheetData>
    <row r="2" spans="1:9" ht="15.75">
      <c r="A2" s="31" t="s">
        <v>112</v>
      </c>
      <c r="C2" s="76"/>
      <c r="D2" s="76">
        <v>0.04</v>
      </c>
      <c r="E2" s="76">
        <v>0.03</v>
      </c>
      <c r="F2" s="76">
        <v>0.03</v>
      </c>
    </row>
    <row r="3" spans="1:9">
      <c r="D3" s="28"/>
      <c r="E3" s="28"/>
      <c r="F3" s="28"/>
    </row>
    <row r="4" spans="1:9" ht="15.75">
      <c r="A4" t="s">
        <v>23</v>
      </c>
      <c r="C4" s="45" t="s">
        <v>56</v>
      </c>
      <c r="D4" s="46" t="s">
        <v>57</v>
      </c>
      <c r="E4" s="46" t="s">
        <v>58</v>
      </c>
      <c r="F4" s="46" t="s">
        <v>59</v>
      </c>
      <c r="G4" s="30"/>
      <c r="H4" s="30"/>
    </row>
    <row r="5" spans="1:9">
      <c r="C5" s="26" t="s">
        <v>24</v>
      </c>
      <c r="D5" s="32" t="s">
        <v>24</v>
      </c>
      <c r="E5" s="32" t="s">
        <v>24</v>
      </c>
      <c r="F5" s="32" t="s">
        <v>24</v>
      </c>
      <c r="G5" s="26" t="s">
        <v>25</v>
      </c>
      <c r="H5" s="27" t="s">
        <v>43</v>
      </c>
    </row>
    <row r="6" spans="1:9">
      <c r="C6" s="23"/>
      <c r="D6" s="23"/>
      <c r="E6" s="23"/>
      <c r="F6" s="23"/>
      <c r="G6" s="23"/>
    </row>
    <row r="7" spans="1:9">
      <c r="A7" t="s">
        <v>39</v>
      </c>
      <c r="C7" s="23">
        <v>1687.14</v>
      </c>
      <c r="D7" s="23">
        <f>+ROUND(+C7*(1+$D$2),1)</f>
        <v>1754.6</v>
      </c>
      <c r="E7" s="23">
        <f>+ROUND(+D7*(1+$E$2),1)</f>
        <v>1807.2</v>
      </c>
      <c r="F7" s="23">
        <f>+ROUND(+E7*(1+$F$2),1)</f>
        <v>1861.4</v>
      </c>
      <c r="G7" s="23">
        <v>2740</v>
      </c>
      <c r="H7" s="23">
        <v>2740</v>
      </c>
      <c r="I7" s="24"/>
    </row>
    <row r="8" spans="1:9">
      <c r="A8" t="s">
        <v>40</v>
      </c>
      <c r="C8" s="23">
        <v>2111.5</v>
      </c>
      <c r="D8" s="23">
        <f>+ROUND(+C8*(1+$D$2),1)</f>
        <v>2196</v>
      </c>
      <c r="E8" s="23">
        <f>+ROUND(+D8*(1+$E$2),1)</f>
        <v>2261.9</v>
      </c>
      <c r="F8" s="23">
        <f>+ROUND(+E8*(1+$F$2),1)</f>
        <v>2329.8000000000002</v>
      </c>
      <c r="G8" s="23">
        <v>4630</v>
      </c>
      <c r="H8" s="23">
        <f>+C8+1200</f>
        <v>3311.5</v>
      </c>
    </row>
    <row r="9" spans="1:9">
      <c r="A9" t="s">
        <v>41</v>
      </c>
      <c r="C9" s="23">
        <v>2111.5</v>
      </c>
      <c r="D9" s="23">
        <f>+ROUND(+C9*(1+$D$2),1)</f>
        <v>2196</v>
      </c>
      <c r="E9" s="23">
        <f>+ROUND(+D9*(1+$E$2),1)</f>
        <v>2261.9</v>
      </c>
      <c r="F9" s="23">
        <f>+ROUND(+E9*(1+$F$2),1)</f>
        <v>2329.8000000000002</v>
      </c>
      <c r="G9" s="23">
        <v>4630</v>
      </c>
      <c r="H9" s="23">
        <f>+C9+1200</f>
        <v>3311.5</v>
      </c>
      <c r="I9" s="24"/>
    </row>
    <row r="10" spans="1:9">
      <c r="A10" t="s">
        <v>42</v>
      </c>
      <c r="C10" s="23">
        <v>2271.15</v>
      </c>
      <c r="D10" s="23">
        <f>+ROUND(+C10*(1+$D$2),1)</f>
        <v>2362</v>
      </c>
      <c r="E10" s="23">
        <f>+ROUND(+D10*(1+$E$2),1)</f>
        <v>2432.9</v>
      </c>
      <c r="F10" s="23">
        <f>+ROUND(+E10*(1+$F$2),1)</f>
        <v>2505.9</v>
      </c>
      <c r="G10" s="23">
        <v>4720</v>
      </c>
      <c r="H10" s="23">
        <f>+C10+1200</f>
        <v>3471.15</v>
      </c>
    </row>
    <row r="13" spans="1:9">
      <c r="A13" s="25"/>
      <c r="C13" s="28"/>
      <c r="D13" s="28"/>
      <c r="E13" s="28"/>
      <c r="F13" s="28"/>
      <c r="G13" s="28"/>
    </row>
    <row r="14" spans="1:9">
      <c r="A14" s="48"/>
      <c r="C14" s="23"/>
      <c r="D14" s="23"/>
      <c r="E14" s="23"/>
      <c r="F14" s="23"/>
    </row>
    <row r="15" spans="1:9">
      <c r="A15" s="25"/>
      <c r="C15" s="23"/>
      <c r="D15" s="23"/>
      <c r="E15" s="23"/>
      <c r="F15" s="23"/>
    </row>
    <row r="16" spans="1:9">
      <c r="A16" s="25"/>
      <c r="C16" s="23"/>
      <c r="D16" s="23"/>
      <c r="E16" s="23"/>
      <c r="F16" s="23"/>
    </row>
    <row r="17" spans="1:6">
      <c r="D17" s="23"/>
      <c r="E17" s="23"/>
      <c r="F17" s="23"/>
    </row>
    <row r="18" spans="1:6">
      <c r="C18" s="48"/>
      <c r="D18" s="23"/>
      <c r="E18" s="23"/>
      <c r="F18" s="23"/>
    </row>
    <row r="21" spans="1:6">
      <c r="A21" s="25"/>
    </row>
    <row r="22" spans="1:6">
      <c r="A22" s="2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Assumptions</vt:lpstr>
      <vt:lpstr>3 Year Projection</vt:lpstr>
      <vt:lpstr>Tuition Summary</vt:lpstr>
      <vt:lpstr>Preschool</vt:lpstr>
      <vt:lpstr>Enrichment</vt:lpstr>
      <vt:lpstr>AOK</vt:lpstr>
      <vt:lpstr>Tuition K-8</vt:lpstr>
      <vt:lpstr>K-8 Tuition Rates</vt:lpstr>
      <vt:lpstr>'3 Year Projection'!Print_Area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Cletus Pfeiffer</dc:creator>
  <cp:lastModifiedBy>Kevin Meyer</cp:lastModifiedBy>
  <cp:lastPrinted>2011-12-15T21:22:13Z</cp:lastPrinted>
  <dcterms:created xsi:type="dcterms:W3CDTF">2011-01-03T17:09:48Z</dcterms:created>
  <dcterms:modified xsi:type="dcterms:W3CDTF">2012-03-08T17:45:21Z</dcterms:modified>
</cp:coreProperties>
</file>